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6.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d.docs.live.net/fa77d33fea66a78b/Desktop/1 PAIE 2025/CHAPITRE 25 AVANTAGES EN NATURE/"/>
    </mc:Choice>
  </mc:AlternateContent>
  <xr:revisionPtr revIDLastSave="75" documentId="11_2A8E7F4E991B16BFD4C66A86BD69E9CFB7A2C907" xr6:coauthVersionLast="47" xr6:coauthVersionMax="47" xr10:uidLastSave="{401E77C8-0EC0-4495-B78F-B2C9D7E87660}"/>
  <bookViews>
    <workbookView xWindow="-108" yWindow="-108" windowWidth="23256" windowHeight="12456" tabRatio="500" firstSheet="5" activeTab="5" xr2:uid="{00000000-000D-0000-FFFF-FFFF00000000}"/>
  </bookViews>
  <sheets>
    <sheet name="PRESENTATION " sheetId="1" r:id="rId1"/>
    <sheet name="INTRODUCTION " sheetId="2" r:id="rId2"/>
    <sheet name="Masque de Saisie" sheetId="3" r:id="rId3"/>
    <sheet name="ENONCE 2025" sheetId="4" r:id="rId4"/>
    <sheet name="BP VERSION JANVIER 2023" sheetId="5" r:id="rId5"/>
    <sheet name="BP FORMAT JUILLET 2023" sheetId="6" r:id="rId6"/>
    <sheet name="HEURES SUPPLEMENTAIRES " sheetId="7" r:id="rId7"/>
    <sheet name="FEUILLE DE CONTROLE " sheetId="8" r:id="rId8"/>
    <sheet name="TABLE DES TAUX 2025 " sheetId="10" r:id="rId9"/>
    <sheet name="TR Matrice Net Imposable " sheetId="11" r:id="rId10"/>
    <sheet name="TR Matrice Cotisations " sheetId="12" r:id="rId11"/>
    <sheet name="RED. GEN. de COT. Janv" sheetId="13" r:id="rId12"/>
    <sheet name="Red Gen de CoBP Format Juillet" sheetId="14" r:id="rId13"/>
    <sheet name="TAUX NEUTRE " sheetId="9" r:id="rId14"/>
    <sheet name="TAUX NEUTRE JANVIER  " sheetId="15" r:id="rId15"/>
    <sheet name="TAUX NEUTRE MAI" sheetId="21" r:id="rId16"/>
    <sheet name="MATRICE IJSS ABSENCE " sheetId="17" r:id="rId17"/>
    <sheet name="MATRICE IJSS MALADIE" sheetId="18" r:id="rId18"/>
    <sheet name="MATRICE IJSS MATERNITE " sheetId="19" r:id="rId19"/>
    <sheet name="MATRICE ISS AT " sheetId="20" r:id="rId20"/>
  </sheets>
  <externalReferences>
    <externalReference r:id="rId21"/>
    <externalReference r:id="rId22"/>
    <externalReference r:id="rId23"/>
  </externalReferences>
  <definedNames>
    <definedName name="TABLE2019">#REF!</definedName>
    <definedName name="TABLE201NN">#REF!</definedName>
    <definedName name="TABLE20NN">#REF!</definedName>
    <definedName name="TABLETAUX">#REF!</definedName>
    <definedName name="TAUX2015">'[1]Table des taux '!$A$2:$D$55</definedName>
    <definedName name="TAUX2023">'TABLE DES TAUX 2025 '!$B$1:$E$58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7" i="12" l="1"/>
  <c r="E5" i="12"/>
  <c r="C6" i="11" s="1"/>
  <c r="C8" i="9"/>
  <c r="C9" i="9"/>
  <c r="C10" i="9"/>
  <c r="C11" i="9"/>
  <c r="C12" i="9"/>
  <c r="C13" i="9"/>
  <c r="C14" i="9"/>
  <c r="C15" i="9"/>
  <c r="C16" i="9"/>
  <c r="C17" i="9"/>
  <c r="C18" i="9"/>
  <c r="C19" i="9"/>
  <c r="C20" i="9"/>
  <c r="C21" i="9"/>
  <c r="C22" i="9"/>
  <c r="C23" i="9"/>
  <c r="C24" i="9"/>
  <c r="C25" i="9"/>
  <c r="C26" i="9"/>
  <c r="C7" i="9"/>
  <c r="B8" i="9"/>
  <c r="B9" i="9"/>
  <c r="B10" i="9"/>
  <c r="B11" i="9"/>
  <c r="B12" i="9"/>
  <c r="B13" i="9"/>
  <c r="B14" i="9"/>
  <c r="B15" i="9"/>
  <c r="B16" i="9"/>
  <c r="B17" i="9"/>
  <c r="B18" i="9"/>
  <c r="B19" i="9"/>
  <c r="B20" i="9"/>
  <c r="B21" i="9"/>
  <c r="B22" i="9"/>
  <c r="B23" i="9"/>
  <c r="B24" i="9"/>
  <c r="B25" i="9"/>
  <c r="B26" i="9"/>
  <c r="B7" i="9"/>
  <c r="E50" i="21"/>
  <c r="B50" i="21"/>
  <c r="B49" i="21"/>
  <c r="E49" i="21" s="1"/>
  <c r="B48" i="21"/>
  <c r="E48" i="21" s="1"/>
  <c r="E47" i="21"/>
  <c r="B47" i="21"/>
  <c r="E46" i="21"/>
  <c r="B46" i="21"/>
  <c r="B45" i="21"/>
  <c r="E45" i="21" s="1"/>
  <c r="B44" i="21"/>
  <c r="E44" i="21" s="1"/>
  <c r="E43" i="21"/>
  <c r="B43" i="21"/>
  <c r="E42" i="21"/>
  <c r="B42" i="21"/>
  <c r="B41" i="21"/>
  <c r="E41" i="21" s="1"/>
  <c r="B40" i="21"/>
  <c r="E40" i="21" s="1"/>
  <c r="E39" i="21"/>
  <c r="B39" i="21"/>
  <c r="E38" i="21"/>
  <c r="B38" i="21"/>
  <c r="B37" i="21"/>
  <c r="E37" i="21" s="1"/>
  <c r="B36" i="21"/>
  <c r="E36" i="21" s="1"/>
  <c r="E35" i="21"/>
  <c r="B35" i="21"/>
  <c r="E34" i="21"/>
  <c r="B34" i="21"/>
  <c r="B33" i="21"/>
  <c r="E33" i="21" s="1"/>
  <c r="B32" i="21"/>
  <c r="E32" i="21" s="1"/>
  <c r="E31" i="21"/>
  <c r="B26" i="21"/>
  <c r="B25" i="21"/>
  <c r="B24" i="21"/>
  <c r="B23" i="21"/>
  <c r="B22" i="21"/>
  <c r="B21" i="21"/>
  <c r="B20" i="21"/>
  <c r="B19" i="21"/>
  <c r="B18" i="21"/>
  <c r="B17" i="21"/>
  <c r="B16" i="21"/>
  <c r="B15" i="21"/>
  <c r="B14" i="21"/>
  <c r="B13" i="21"/>
  <c r="B12" i="21"/>
  <c r="B11" i="21"/>
  <c r="B10" i="21"/>
  <c r="B9" i="21"/>
  <c r="B8" i="21"/>
  <c r="C34" i="20"/>
  <c r="C25" i="20"/>
  <c r="C19" i="20"/>
  <c r="C9" i="20"/>
  <c r="C11" i="20" s="1"/>
  <c r="C13" i="20" s="1"/>
  <c r="E29" i="19"/>
  <c r="J28" i="19"/>
  <c r="J30" i="19" s="1"/>
  <c r="H32" i="19" s="1"/>
  <c r="E28" i="19"/>
  <c r="J27" i="19"/>
  <c r="F27" i="19"/>
  <c r="F28" i="19" s="1"/>
  <c r="G28" i="19" s="1"/>
  <c r="H28" i="19" s="1"/>
  <c r="E27" i="19"/>
  <c r="J26" i="19"/>
  <c r="B15" i="19"/>
  <c r="B12" i="19"/>
  <c r="B14" i="19" s="1"/>
  <c r="C53" i="18"/>
  <c r="C45" i="18"/>
  <c r="C44" i="18"/>
  <c r="C57" i="18" s="1"/>
  <c r="C43" i="18"/>
  <c r="C42" i="18"/>
  <c r="C41" i="18"/>
  <c r="F29" i="18"/>
  <c r="G29" i="18" s="1"/>
  <c r="G28" i="18"/>
  <c r="F27" i="18"/>
  <c r="F28" i="18" s="1"/>
  <c r="C16" i="18"/>
  <c r="C11" i="18"/>
  <c r="C13" i="18" s="1"/>
  <c r="G32" i="18" s="1"/>
  <c r="E5" i="18"/>
  <c r="C55" i="17"/>
  <c r="C51" i="17"/>
  <c r="C43" i="17"/>
  <c r="C42" i="17"/>
  <c r="C41" i="17"/>
  <c r="C40" i="17"/>
  <c r="C39" i="17"/>
  <c r="C46" i="17" s="1"/>
  <c r="F28" i="17"/>
  <c r="F27" i="17"/>
  <c r="G27" i="17" s="1"/>
  <c r="C16" i="17"/>
  <c r="C13" i="17"/>
  <c r="G32" i="17" s="1"/>
  <c r="C11" i="17"/>
  <c r="E7" i="17"/>
  <c r="E5" i="17"/>
  <c r="E50" i="15"/>
  <c r="B50" i="15"/>
  <c r="B49" i="15"/>
  <c r="E49" i="15" s="1"/>
  <c r="E48" i="15"/>
  <c r="B48" i="15"/>
  <c r="E47" i="15"/>
  <c r="B47" i="15"/>
  <c r="B46" i="15"/>
  <c r="E46" i="15" s="1"/>
  <c r="B45" i="15"/>
  <c r="E45" i="15" s="1"/>
  <c r="B44" i="15"/>
  <c r="E44" i="15" s="1"/>
  <c r="B43" i="15"/>
  <c r="E43" i="15" s="1"/>
  <c r="B42" i="15"/>
  <c r="E42" i="15" s="1"/>
  <c r="B41" i="15"/>
  <c r="E41" i="15" s="1"/>
  <c r="B40" i="15"/>
  <c r="E40" i="15" s="1"/>
  <c r="E39" i="15"/>
  <c r="B39" i="15"/>
  <c r="E38" i="15"/>
  <c r="B38" i="15"/>
  <c r="B37" i="15"/>
  <c r="E37" i="15" s="1"/>
  <c r="E36" i="15"/>
  <c r="B36" i="15"/>
  <c r="E35" i="15"/>
  <c r="B35" i="15"/>
  <c r="B34" i="15"/>
  <c r="E34" i="15" s="1"/>
  <c r="B33" i="15"/>
  <c r="E33" i="15" s="1"/>
  <c r="B32" i="15"/>
  <c r="E32" i="15" s="1"/>
  <c r="E31" i="15"/>
  <c r="B26" i="15"/>
  <c r="B25" i="15"/>
  <c r="B24" i="15"/>
  <c r="B23" i="15"/>
  <c r="B22" i="15"/>
  <c r="B21" i="15"/>
  <c r="B20" i="15"/>
  <c r="B19" i="15"/>
  <c r="B18" i="15"/>
  <c r="B17" i="15"/>
  <c r="B16" i="15"/>
  <c r="B15" i="15"/>
  <c r="B14" i="15"/>
  <c r="B13" i="15"/>
  <c r="B12" i="15"/>
  <c r="B11" i="15"/>
  <c r="B10" i="15"/>
  <c r="B9" i="15"/>
  <c r="B8" i="15"/>
  <c r="E21" i="12"/>
  <c r="C10" i="11"/>
  <c r="C23" i="11" s="1"/>
  <c r="I84" i="10"/>
  <c r="F79" i="10"/>
  <c r="E79" i="10"/>
  <c r="F73" i="10"/>
  <c r="E73" i="10"/>
  <c r="D73" i="10"/>
  <c r="C73" i="10"/>
  <c r="G60" i="10"/>
  <c r="D60" i="10"/>
  <c r="G59" i="10"/>
  <c r="D59" i="10"/>
  <c r="D58" i="10"/>
  <c r="D57" i="10"/>
  <c r="G14" i="8"/>
  <c r="G11" i="8"/>
  <c r="G10" i="8"/>
  <c r="A145" i="7"/>
  <c r="P119" i="7"/>
  <c r="O119" i="7"/>
  <c r="N119" i="7"/>
  <c r="M119" i="7"/>
  <c r="L119" i="7"/>
  <c r="K119" i="7"/>
  <c r="E119" i="7"/>
  <c r="U118" i="7"/>
  <c r="T118" i="7"/>
  <c r="S118" i="7"/>
  <c r="R118" i="7"/>
  <c r="Q118" i="7"/>
  <c r="U115" i="7"/>
  <c r="T115" i="7"/>
  <c r="S115" i="7"/>
  <c r="N115" i="7"/>
  <c r="L115" i="7"/>
  <c r="K115" i="7"/>
  <c r="S114" i="7"/>
  <c r="S120" i="7" s="1"/>
  <c r="P114" i="7"/>
  <c r="K114" i="7"/>
  <c r="K105" i="7"/>
  <c r="K103" i="7"/>
  <c r="F103" i="7"/>
  <c r="U98" i="7"/>
  <c r="T98" i="7"/>
  <c r="S98" i="7"/>
  <c r="R98" i="7"/>
  <c r="Q98" i="7"/>
  <c r="P98" i="7"/>
  <c r="O98" i="7"/>
  <c r="N98" i="7"/>
  <c r="M98" i="7"/>
  <c r="L98" i="7"/>
  <c r="U97" i="7"/>
  <c r="T97" i="7"/>
  <c r="S97" i="7"/>
  <c r="R97" i="7"/>
  <c r="Q97" i="7"/>
  <c r="P97" i="7"/>
  <c r="O97" i="7"/>
  <c r="N97" i="7"/>
  <c r="M97" i="7"/>
  <c r="L97" i="7"/>
  <c r="U96" i="7"/>
  <c r="T96" i="7"/>
  <c r="S96" i="7"/>
  <c r="R96" i="7"/>
  <c r="Q96" i="7"/>
  <c r="P96" i="7"/>
  <c r="O96" i="7"/>
  <c r="N96" i="7"/>
  <c r="M96" i="7"/>
  <c r="L96" i="7"/>
  <c r="U95" i="7"/>
  <c r="T95" i="7"/>
  <c r="S95" i="7"/>
  <c r="R95" i="7"/>
  <c r="Q95" i="7"/>
  <c r="P95" i="7"/>
  <c r="O95" i="7"/>
  <c r="N95" i="7"/>
  <c r="M95" i="7"/>
  <c r="L95" i="7"/>
  <c r="U94" i="7"/>
  <c r="T94" i="7"/>
  <c r="S94" i="7"/>
  <c r="R94" i="7"/>
  <c r="Q94" i="7"/>
  <c r="P94" i="7"/>
  <c r="O94" i="7"/>
  <c r="N94" i="7"/>
  <c r="M94" i="7"/>
  <c r="L94" i="7"/>
  <c r="U93" i="7"/>
  <c r="T93" i="7"/>
  <c r="S93" i="7"/>
  <c r="R93" i="7"/>
  <c r="Q93" i="7"/>
  <c r="P93" i="7"/>
  <c r="O93" i="7"/>
  <c r="N93" i="7"/>
  <c r="M93" i="7"/>
  <c r="L93" i="7"/>
  <c r="U92" i="7"/>
  <c r="T92" i="7"/>
  <c r="S92" i="7"/>
  <c r="R92" i="7"/>
  <c r="Q92" i="7"/>
  <c r="P92" i="7"/>
  <c r="O92" i="7"/>
  <c r="N92" i="7"/>
  <c r="M92" i="7"/>
  <c r="L92" i="7"/>
  <c r="U91" i="7"/>
  <c r="T91" i="7"/>
  <c r="S91" i="7"/>
  <c r="R91" i="7"/>
  <c r="Q91" i="7"/>
  <c r="Q115" i="7" s="1"/>
  <c r="P91" i="7"/>
  <c r="P115" i="7" s="1"/>
  <c r="O91" i="7"/>
  <c r="N91" i="7"/>
  <c r="M91" i="7"/>
  <c r="L91" i="7"/>
  <c r="M90" i="7"/>
  <c r="E89" i="7"/>
  <c r="E90" i="7" s="1"/>
  <c r="U88" i="7"/>
  <c r="T88" i="7"/>
  <c r="S88" i="7"/>
  <c r="R88" i="7"/>
  <c r="Q88" i="7"/>
  <c r="P88" i="7"/>
  <c r="O88" i="7"/>
  <c r="O114" i="7" s="1"/>
  <c r="N88" i="7"/>
  <c r="M88" i="7"/>
  <c r="L88" i="7"/>
  <c r="L90" i="7" s="1"/>
  <c r="E88" i="7"/>
  <c r="U85" i="7"/>
  <c r="T85" i="7"/>
  <c r="S85" i="7"/>
  <c r="R85" i="7"/>
  <c r="R114" i="7" s="1"/>
  <c r="R120" i="7" s="1"/>
  <c r="Q85" i="7"/>
  <c r="P85" i="7"/>
  <c r="O85" i="7"/>
  <c r="M85" i="7"/>
  <c r="L85" i="7"/>
  <c r="R80" i="7"/>
  <c r="M80" i="7"/>
  <c r="R79" i="7"/>
  <c r="M79" i="7"/>
  <c r="R78" i="7"/>
  <c r="M78" i="7"/>
  <c r="R77" i="7"/>
  <c r="M77" i="7"/>
  <c r="D77" i="7"/>
  <c r="R76" i="7"/>
  <c r="M76" i="7"/>
  <c r="D76" i="7"/>
  <c r="R75" i="7"/>
  <c r="M75" i="7"/>
  <c r="D75" i="7"/>
  <c r="R74" i="7"/>
  <c r="M74" i="7"/>
  <c r="D74" i="7"/>
  <c r="R73" i="7"/>
  <c r="M73" i="7"/>
  <c r="D73" i="7"/>
  <c r="R72" i="7"/>
  <c r="M72" i="7"/>
  <c r="D72" i="7"/>
  <c r="R71" i="7"/>
  <c r="M71" i="7"/>
  <c r="D71" i="7"/>
  <c r="R70" i="7"/>
  <c r="D70" i="7"/>
  <c r="B69" i="7"/>
  <c r="B68" i="7"/>
  <c r="B67" i="7"/>
  <c r="B65" i="7"/>
  <c r="B64" i="7"/>
  <c r="B62" i="7"/>
  <c r="B60" i="7"/>
  <c r="B59" i="7"/>
  <c r="X48" i="7"/>
  <c r="Z48" i="7" s="1"/>
  <c r="AA48" i="7" s="1"/>
  <c r="V48" i="7"/>
  <c r="W48" i="7" s="1"/>
  <c r="U48" i="7"/>
  <c r="T48" i="7"/>
  <c r="S48" i="7"/>
  <c r="R48" i="7"/>
  <c r="P48" i="7"/>
  <c r="Q48" i="7" s="1"/>
  <c r="N48" i="7"/>
  <c r="O48" i="7" s="1"/>
  <c r="M48" i="7"/>
  <c r="L48" i="7"/>
  <c r="F47" i="7"/>
  <c r="F46" i="7"/>
  <c r="F45" i="7"/>
  <c r="F44" i="7"/>
  <c r="P41" i="7"/>
  <c r="N41" i="7"/>
  <c r="C36" i="7"/>
  <c r="B36" i="7"/>
  <c r="C35" i="7"/>
  <c r="B35" i="7"/>
  <c r="C34" i="7"/>
  <c r="B34" i="7"/>
  <c r="C33" i="7"/>
  <c r="B33" i="7"/>
  <c r="C32" i="7"/>
  <c r="B32" i="7"/>
  <c r="C31" i="7"/>
  <c r="B31" i="7"/>
  <c r="C30" i="7"/>
  <c r="B30" i="7"/>
  <c r="C29" i="7"/>
  <c r="B29" i="7"/>
  <c r="C28" i="7"/>
  <c r="B28" i="7"/>
  <c r="C27" i="7"/>
  <c r="B27" i="7"/>
  <c r="C26" i="7"/>
  <c r="B26" i="7"/>
  <c r="C25" i="7"/>
  <c r="B25" i="7"/>
  <c r="C24" i="7"/>
  <c r="D24" i="7" s="1"/>
  <c r="B24" i="7"/>
  <c r="E24" i="7" s="1"/>
  <c r="C15" i="7"/>
  <c r="B15" i="7"/>
  <c r="C14" i="7"/>
  <c r="B14" i="7"/>
  <c r="C13" i="7"/>
  <c r="B13" i="7"/>
  <c r="C12" i="7"/>
  <c r="B12" i="7"/>
  <c r="C11" i="7"/>
  <c r="B11" i="7"/>
  <c r="C10" i="7"/>
  <c r="B10" i="7"/>
  <c r="C9" i="7"/>
  <c r="B9" i="7"/>
  <c r="C8" i="7"/>
  <c r="B8" i="7"/>
  <c r="C7" i="7"/>
  <c r="B7" i="7"/>
  <c r="R41" i="7" s="1"/>
  <c r="C6" i="7"/>
  <c r="B6" i="7"/>
  <c r="C5" i="7"/>
  <c r="B5" i="7"/>
  <c r="C4" i="7"/>
  <c r="B4" i="7"/>
  <c r="L41" i="7" s="1"/>
  <c r="E3" i="7"/>
  <c r="O3" i="7" s="1"/>
  <c r="P3" i="7" s="1"/>
  <c r="D3" i="7"/>
  <c r="D4" i="7" s="1"/>
  <c r="C3" i="7"/>
  <c r="B3" i="7"/>
  <c r="D133" i="6"/>
  <c r="D132" i="6"/>
  <c r="D131" i="6"/>
  <c r="D130" i="6"/>
  <c r="D129" i="6"/>
  <c r="D128" i="6"/>
  <c r="D127" i="6"/>
  <c r="D126" i="6"/>
  <c r="D125" i="6"/>
  <c r="D124" i="6"/>
  <c r="D123" i="6"/>
  <c r="E122" i="6"/>
  <c r="C112" i="6"/>
  <c r="C103" i="6"/>
  <c r="F82" i="6"/>
  <c r="G78" i="6"/>
  <c r="C128" i="6" s="1"/>
  <c r="E128" i="6" s="1"/>
  <c r="E78" i="6"/>
  <c r="D78" i="6"/>
  <c r="F78" i="6" s="1"/>
  <c r="E76" i="6"/>
  <c r="D76" i="6"/>
  <c r="E75" i="6"/>
  <c r="D75" i="6"/>
  <c r="C75" i="6"/>
  <c r="G75" i="6" s="1"/>
  <c r="F71" i="6"/>
  <c r="D67" i="6"/>
  <c r="D70" i="6" s="1"/>
  <c r="D66" i="6"/>
  <c r="D69" i="6" s="1"/>
  <c r="E63" i="6"/>
  <c r="D63" i="6"/>
  <c r="G62" i="6"/>
  <c r="F62" i="6"/>
  <c r="Q60" i="6"/>
  <c r="E59" i="6"/>
  <c r="E58" i="6"/>
  <c r="F56" i="6"/>
  <c r="E56" i="6"/>
  <c r="G56" i="6" s="1"/>
  <c r="G55" i="6"/>
  <c r="F55" i="6"/>
  <c r="E55" i="6"/>
  <c r="E52" i="6"/>
  <c r="D52" i="6"/>
  <c r="D41" i="7" s="1"/>
  <c r="E51" i="6"/>
  <c r="D51" i="6"/>
  <c r="D40" i="7" s="1"/>
  <c r="E49" i="6"/>
  <c r="G48" i="6"/>
  <c r="F48" i="6"/>
  <c r="G47" i="6"/>
  <c r="F47" i="6"/>
  <c r="G46" i="6"/>
  <c r="E46" i="6"/>
  <c r="D46" i="6"/>
  <c r="F46" i="6" s="1"/>
  <c r="F45" i="6"/>
  <c r="E45" i="6"/>
  <c r="G45" i="6" s="1"/>
  <c r="D45" i="6"/>
  <c r="E44" i="6"/>
  <c r="C44" i="6"/>
  <c r="F44" i="6" s="1"/>
  <c r="E43" i="6"/>
  <c r="D43" i="6"/>
  <c r="G42" i="6"/>
  <c r="F42" i="6"/>
  <c r="G41" i="6"/>
  <c r="F41" i="6"/>
  <c r="E40" i="6"/>
  <c r="D40" i="6"/>
  <c r="C40" i="6"/>
  <c r="G40" i="6" s="1"/>
  <c r="G39" i="6"/>
  <c r="F39" i="6"/>
  <c r="E38" i="6"/>
  <c r="E37" i="6"/>
  <c r="C33" i="6"/>
  <c r="C125" i="7" s="1"/>
  <c r="D129" i="7" s="1"/>
  <c r="J21" i="6"/>
  <c r="B57" i="7" s="1"/>
  <c r="C57" i="7" s="1"/>
  <c r="I21" i="6"/>
  <c r="J20" i="6"/>
  <c r="J19" i="6"/>
  <c r="J18" i="6"/>
  <c r="J13" i="6"/>
  <c r="I13" i="6"/>
  <c r="G13" i="6"/>
  <c r="G11" i="6"/>
  <c r="B11" i="6"/>
  <c r="J10" i="6"/>
  <c r="D10" i="6"/>
  <c r="E8" i="14" s="1"/>
  <c r="D16" i="14" s="1"/>
  <c r="E16" i="14" s="1"/>
  <c r="B10" i="6"/>
  <c r="E9" i="14" s="1"/>
  <c r="C16" i="14" s="1"/>
  <c r="B9" i="6"/>
  <c r="E7" i="14" s="1"/>
  <c r="G8" i="6"/>
  <c r="B7" i="6"/>
  <c r="B6" i="6"/>
  <c r="G5" i="6"/>
  <c r="G4" i="6"/>
  <c r="B4" i="6"/>
  <c r="G3" i="6"/>
  <c r="B3" i="6"/>
  <c r="D119" i="5"/>
  <c r="C119" i="5"/>
  <c r="E119" i="5" s="1"/>
  <c r="D118" i="5"/>
  <c r="C118" i="5"/>
  <c r="D117" i="5"/>
  <c r="D116" i="5"/>
  <c r="D115" i="5"/>
  <c r="D114" i="5"/>
  <c r="D113" i="5"/>
  <c r="D112" i="5"/>
  <c r="D111" i="5"/>
  <c r="D110" i="5"/>
  <c r="C110" i="5"/>
  <c r="D109" i="5"/>
  <c r="F76" i="5"/>
  <c r="G12" i="8" s="1"/>
  <c r="D70" i="5"/>
  <c r="D67" i="5"/>
  <c r="D66" i="5"/>
  <c r="D68" i="5" s="1"/>
  <c r="D69" i="5" s="1"/>
  <c r="F64" i="5"/>
  <c r="E63" i="5"/>
  <c r="D63" i="5"/>
  <c r="F60" i="5"/>
  <c r="E59" i="5"/>
  <c r="E58" i="5"/>
  <c r="E50" i="5"/>
  <c r="D50" i="5"/>
  <c r="E49" i="5"/>
  <c r="D49" i="5"/>
  <c r="E47" i="5"/>
  <c r="F43" i="5"/>
  <c r="E43" i="5"/>
  <c r="G43" i="5" s="1"/>
  <c r="C114" i="5" s="1"/>
  <c r="E114" i="5" s="1"/>
  <c r="D43" i="5"/>
  <c r="E42" i="5"/>
  <c r="C42" i="5"/>
  <c r="F42" i="5" s="1"/>
  <c r="E41" i="5"/>
  <c r="D41" i="5"/>
  <c r="E40" i="5"/>
  <c r="D40" i="5"/>
  <c r="E39" i="5"/>
  <c r="D39" i="5"/>
  <c r="E38" i="5"/>
  <c r="D38" i="5"/>
  <c r="E37" i="5"/>
  <c r="E36" i="5"/>
  <c r="C33" i="5"/>
  <c r="J20" i="5"/>
  <c r="J19" i="5"/>
  <c r="J18" i="5"/>
  <c r="J13" i="5"/>
  <c r="G13" i="5"/>
  <c r="G11" i="5"/>
  <c r="B11" i="5"/>
  <c r="J10" i="5"/>
  <c r="H10" i="5"/>
  <c r="E61" i="5" s="1"/>
  <c r="D10" i="5"/>
  <c r="E8" i="13" s="1"/>
  <c r="D16" i="13" s="1"/>
  <c r="B10" i="5"/>
  <c r="E9" i="13" s="1"/>
  <c r="C16" i="13" s="1"/>
  <c r="B9" i="5"/>
  <c r="E7" i="13" s="1"/>
  <c r="G8" i="5"/>
  <c r="B7" i="5"/>
  <c r="B6" i="5"/>
  <c r="G5" i="5"/>
  <c r="G4" i="5"/>
  <c r="B4" i="5"/>
  <c r="G3" i="5"/>
  <c r="B3" i="5"/>
  <c r="E89" i="4"/>
  <c r="F89" i="4" s="1"/>
  <c r="F90" i="4" s="1"/>
  <c r="F69" i="4"/>
  <c r="F72" i="4" s="1"/>
  <c r="F120" i="3"/>
  <c r="E120" i="3"/>
  <c r="C45" i="17"/>
  <c r="C14" i="18"/>
  <c r="C14" i="17"/>
  <c r="C58" i="17"/>
  <c r="C60" i="18"/>
  <c r="B16" i="19"/>
  <c r="C47" i="18"/>
  <c r="G42" i="5" l="1"/>
  <c r="G44" i="6"/>
  <c r="F40" i="6"/>
  <c r="E51" i="21"/>
  <c r="C59" i="17"/>
  <c r="C15" i="17"/>
  <c r="E118" i="5"/>
  <c r="D5" i="7"/>
  <c r="K4" i="7"/>
  <c r="J32" i="5"/>
  <c r="G13" i="8" s="1"/>
  <c r="J32" i="6"/>
  <c r="J33" i="6" s="1"/>
  <c r="I13" i="5"/>
  <c r="I21" i="5"/>
  <c r="J21" i="5" s="1"/>
  <c r="E16" i="13"/>
  <c r="E110" i="5"/>
  <c r="A23" i="9"/>
  <c r="A15" i="9"/>
  <c r="A20" i="9"/>
  <c r="A10" i="9"/>
  <c r="E6" i="13"/>
  <c r="A16" i="9"/>
  <c r="A13" i="9"/>
  <c r="A19" i="9"/>
  <c r="A9" i="9"/>
  <c r="A26" i="9"/>
  <c r="A22" i="9"/>
  <c r="A12" i="9"/>
  <c r="A18" i="9"/>
  <c r="A14" i="9"/>
  <c r="A8" i="9"/>
  <c r="A11" i="9"/>
  <c r="A17" i="9"/>
  <c r="E6" i="14"/>
  <c r="A25" i="9"/>
  <c r="A24" i="9"/>
  <c r="E61" i="6"/>
  <c r="A21" i="9"/>
  <c r="M41" i="7"/>
  <c r="D78" i="7"/>
  <c r="M24" i="7"/>
  <c r="N24" i="7" s="1"/>
  <c r="K24" i="7"/>
  <c r="L24" i="7" s="1"/>
  <c r="E25" i="7"/>
  <c r="E117" i="7"/>
  <c r="E118" i="7" s="1"/>
  <c r="D25" i="7"/>
  <c r="O41" i="7"/>
  <c r="E57" i="7"/>
  <c r="E108" i="7"/>
  <c r="G57" i="7"/>
  <c r="Q41" i="7"/>
  <c r="Y48" i="7"/>
  <c r="C133" i="6"/>
  <c r="E133" i="6" s="1"/>
  <c r="K3" i="7"/>
  <c r="L3" i="7" s="1"/>
  <c r="AB48" i="7"/>
  <c r="E4" i="7"/>
  <c r="R115" i="7"/>
  <c r="B66" i="7"/>
  <c r="E23" i="12"/>
  <c r="G13" i="12"/>
  <c r="E15" i="12"/>
  <c r="G15" i="12" s="1"/>
  <c r="E28" i="12" s="1"/>
  <c r="E13" i="12"/>
  <c r="E51" i="15"/>
  <c r="C53" i="17"/>
  <c r="C52" i="17"/>
  <c r="D68" i="6"/>
  <c r="M3" i="7"/>
  <c r="N3" i="7" s="1"/>
  <c r="U114" i="7"/>
  <c r="U120" i="7" s="1"/>
  <c r="C59" i="7"/>
  <c r="M114" i="7"/>
  <c r="C8" i="11"/>
  <c r="E17" i="12"/>
  <c r="F75" i="6"/>
  <c r="S41" i="7"/>
  <c r="M115" i="7"/>
  <c r="B61" i="7"/>
  <c r="G17" i="12"/>
  <c r="C15" i="18"/>
  <c r="C124" i="6"/>
  <c r="E124" i="6" s="1"/>
  <c r="C132" i="6"/>
  <c r="E132" i="6" s="1"/>
  <c r="Q114" i="7"/>
  <c r="N90" i="7"/>
  <c r="O90" i="7" s="1"/>
  <c r="P90" i="7" s="1"/>
  <c r="Q90" i="7" s="1"/>
  <c r="R90" i="7" s="1"/>
  <c r="S90" i="7" s="1"/>
  <c r="T90" i="7" s="1"/>
  <c r="U90" i="7" s="1"/>
  <c r="N85" i="7"/>
  <c r="B63" i="7"/>
  <c r="O115" i="7"/>
  <c r="F29" i="17"/>
  <c r="G29" i="17" s="1"/>
  <c r="G28" i="17"/>
  <c r="G30" i="17" s="1"/>
  <c r="G31" i="17" s="1"/>
  <c r="G33" i="17" s="1"/>
  <c r="C44" i="17"/>
  <c r="E19" i="12"/>
  <c r="E25" i="12" s="1"/>
  <c r="C48" i="18"/>
  <c r="C55" i="18" s="1"/>
  <c r="C46" i="18"/>
  <c r="B17" i="19"/>
  <c r="C17" i="20"/>
  <c r="C22" i="20" s="1"/>
  <c r="C16" i="20"/>
  <c r="C18" i="20" s="1"/>
  <c r="C20" i="20" s="1"/>
  <c r="C27" i="20" s="1"/>
  <c r="C23" i="20"/>
  <c r="L114" i="7"/>
  <c r="T114" i="7"/>
  <c r="T120" i="7" s="1"/>
  <c r="C61" i="18"/>
  <c r="C57" i="17"/>
  <c r="C59" i="18"/>
  <c r="C54" i="18"/>
  <c r="G27" i="18"/>
  <c r="G30" i="18" s="1"/>
  <c r="G31" i="18" s="1"/>
  <c r="G33" i="18" s="1"/>
  <c r="C56" i="18"/>
  <c r="G27" i="19"/>
  <c r="H27" i="19" s="1"/>
  <c r="C54" i="17"/>
  <c r="F29" i="19"/>
  <c r="G29" i="19" s="1"/>
  <c r="H29" i="19" s="1"/>
  <c r="J33" i="5" l="1"/>
  <c r="C109" i="5" s="1"/>
  <c r="E109" i="5" s="1"/>
  <c r="E10" i="14"/>
  <c r="B16" i="14" s="1"/>
  <c r="F16" i="14" s="1"/>
  <c r="G16" i="14" s="1"/>
  <c r="E85" i="7"/>
  <c r="C76" i="6"/>
  <c r="C54" i="6"/>
  <c r="C37" i="6"/>
  <c r="G37" i="6" s="1"/>
  <c r="C59" i="6"/>
  <c r="G59" i="6" s="1"/>
  <c r="C52" i="6"/>
  <c r="C49" i="6"/>
  <c r="G49" i="6" s="1"/>
  <c r="B96" i="6"/>
  <c r="C129" i="6"/>
  <c r="D111" i="6"/>
  <c r="C126" i="6"/>
  <c r="E126" i="6" s="1"/>
  <c r="E53" i="6"/>
  <c r="E51" i="5" s="1"/>
  <c r="C58" i="6"/>
  <c r="G58" i="6" s="1"/>
  <c r="C53" i="6"/>
  <c r="C61" i="6"/>
  <c r="E54" i="6"/>
  <c r="E52" i="5" s="1"/>
  <c r="D102" i="6"/>
  <c r="C43" i="6"/>
  <c r="D54" i="6"/>
  <c r="C51" i="6"/>
  <c r="C38" i="6"/>
  <c r="G38" i="6" s="1"/>
  <c r="D53" i="6"/>
  <c r="C131" i="6"/>
  <c r="E131" i="6" s="1"/>
  <c r="C125" i="6"/>
  <c r="E125" i="6" s="1"/>
  <c r="C123" i="6"/>
  <c r="E123" i="6" s="1"/>
  <c r="AD48" i="7"/>
  <c r="AC48" i="7"/>
  <c r="N114" i="7"/>
  <c r="C29" i="20"/>
  <c r="C28" i="20"/>
  <c r="C35" i="20"/>
  <c r="C31" i="20"/>
  <c r="C30" i="20"/>
  <c r="C36" i="20" s="1"/>
  <c r="C24" i="20"/>
  <c r="C26" i="20" s="1"/>
  <c r="C25" i="11"/>
  <c r="D14" i="11"/>
  <c r="C14" i="11"/>
  <c r="D18" i="11"/>
  <c r="C18" i="11"/>
  <c r="C16" i="11"/>
  <c r="D16" i="11" s="1"/>
  <c r="E5" i="13"/>
  <c r="E4" i="13"/>
  <c r="K59" i="7"/>
  <c r="C60" i="7"/>
  <c r="C56" i="17"/>
  <c r="C47" i="17"/>
  <c r="E91" i="7"/>
  <c r="E115" i="7" s="1"/>
  <c r="D131" i="7"/>
  <c r="F141" i="7" s="1"/>
  <c r="C72" i="5" s="1"/>
  <c r="C72" i="6"/>
  <c r="L4" i="7"/>
  <c r="D6" i="7"/>
  <c r="K5" i="7"/>
  <c r="L5" i="7" s="1"/>
  <c r="C117" i="5"/>
  <c r="E117" i="5" s="1"/>
  <c r="C21" i="11"/>
  <c r="C27" i="11" s="1"/>
  <c r="D79" i="7"/>
  <c r="M25" i="7"/>
  <c r="N25" i="7" s="1"/>
  <c r="L47" i="7" s="1"/>
  <c r="M47" i="7" s="1"/>
  <c r="K25" i="7"/>
  <c r="L25" i="7" s="1"/>
  <c r="L46" i="7" s="1"/>
  <c r="M46" i="7" s="1"/>
  <c r="E26" i="7"/>
  <c r="G34" i="18"/>
  <c r="G36" i="18"/>
  <c r="G35" i="18"/>
  <c r="E86" i="7"/>
  <c r="D132" i="7"/>
  <c r="J87" i="6"/>
  <c r="E110" i="7"/>
  <c r="E111" i="7" s="1"/>
  <c r="E103" i="7" s="1"/>
  <c r="E109" i="7"/>
  <c r="Q120" i="7"/>
  <c r="K117" i="7"/>
  <c r="K118" i="7" s="1"/>
  <c r="K120" i="7" s="1"/>
  <c r="D26" i="7"/>
  <c r="G36" i="17"/>
  <c r="G35" i="17"/>
  <c r="G34" i="17"/>
  <c r="E10" i="13"/>
  <c r="B16" i="13" s="1"/>
  <c r="F16" i="13" s="1"/>
  <c r="G16" i="13" s="1"/>
  <c r="G37" i="8"/>
  <c r="G18" i="8"/>
  <c r="G8" i="8"/>
  <c r="C61" i="5"/>
  <c r="C50" i="5"/>
  <c r="C39" i="5"/>
  <c r="C111" i="5"/>
  <c r="E111" i="5" s="1"/>
  <c r="B91" i="5"/>
  <c r="C58" i="5"/>
  <c r="C47" i="5"/>
  <c r="C37" i="5"/>
  <c r="C115" i="5"/>
  <c r="C59" i="5"/>
  <c r="C112" i="5"/>
  <c r="E112" i="5" s="1"/>
  <c r="C49" i="5"/>
  <c r="C51" i="5"/>
  <c r="C36" i="5"/>
  <c r="C38" i="5"/>
  <c r="C52" i="5"/>
  <c r="H30" i="19"/>
  <c r="H31" i="19" s="1"/>
  <c r="H33" i="19" s="1"/>
  <c r="O4" i="7"/>
  <c r="P4" i="7" s="1"/>
  <c r="L43" i="7" s="1"/>
  <c r="M4" i="7"/>
  <c r="N4" i="7" s="1"/>
  <c r="E5" i="7"/>
  <c r="C49" i="18"/>
  <c r="C58" i="18"/>
  <c r="H13" i="12"/>
  <c r="E5" i="14"/>
  <c r="E4" i="14"/>
  <c r="H16" i="14" s="1"/>
  <c r="I16" i="14" s="1"/>
  <c r="J16" i="14" s="1"/>
  <c r="G71" i="6" s="1"/>
  <c r="G51" i="6" l="1"/>
  <c r="E40" i="7"/>
  <c r="F40" i="7" s="1"/>
  <c r="F51" i="6"/>
  <c r="E41" i="7"/>
  <c r="F41" i="7" s="1"/>
  <c r="G52" i="6"/>
  <c r="F52" i="6"/>
  <c r="E50" i="8"/>
  <c r="J91" i="6"/>
  <c r="E51" i="8" s="1"/>
  <c r="L45" i="7"/>
  <c r="M45" i="7" s="1"/>
  <c r="G39" i="5"/>
  <c r="F39" i="5"/>
  <c r="C40" i="5"/>
  <c r="D7" i="7"/>
  <c r="D43" i="7"/>
  <c r="M43" i="7" s="1"/>
  <c r="D52" i="5"/>
  <c r="C61" i="17"/>
  <c r="C60" i="17"/>
  <c r="L42" i="7"/>
  <c r="L40" i="7"/>
  <c r="M40" i="7" s="1"/>
  <c r="G43" i="6"/>
  <c r="F43" i="6"/>
  <c r="C116" i="5"/>
  <c r="E116" i="5" s="1"/>
  <c r="E115" i="5"/>
  <c r="F37" i="5"/>
  <c r="G37" i="5"/>
  <c r="B95" i="6"/>
  <c r="G76" i="6"/>
  <c r="E99" i="7" s="1"/>
  <c r="F76" i="6"/>
  <c r="C32" i="20"/>
  <c r="C33" i="20" s="1"/>
  <c r="C37" i="20" s="1"/>
  <c r="F47" i="5"/>
  <c r="G47" i="5"/>
  <c r="B90" i="5"/>
  <c r="E129" i="6"/>
  <c r="C130" i="6"/>
  <c r="E130" i="6" s="1"/>
  <c r="E87" i="7"/>
  <c r="E114" i="7"/>
  <c r="D130" i="7"/>
  <c r="D133" i="7" s="1"/>
  <c r="G49" i="5"/>
  <c r="F49" i="5"/>
  <c r="H37" i="19"/>
  <c r="H35" i="19"/>
  <c r="H36" i="19" s="1"/>
  <c r="H34" i="19"/>
  <c r="G50" i="5"/>
  <c r="F50" i="5"/>
  <c r="D80" i="7"/>
  <c r="M26" i="7"/>
  <c r="N26" i="7" s="1"/>
  <c r="N47" i="7" s="1"/>
  <c r="O47" i="7" s="1"/>
  <c r="K26" i="7"/>
  <c r="L26" i="7" s="1"/>
  <c r="N46" i="7" s="1"/>
  <c r="O46" i="7" s="1"/>
  <c r="E27" i="7"/>
  <c r="AF48" i="7"/>
  <c r="AG48" i="7" s="1"/>
  <c r="AE48" i="7"/>
  <c r="G38" i="5"/>
  <c r="F38" i="5"/>
  <c r="C41" i="5"/>
  <c r="H16" i="11"/>
  <c r="C29" i="11"/>
  <c r="C63" i="18"/>
  <c r="C62" i="18"/>
  <c r="G36" i="5"/>
  <c r="D124" i="5"/>
  <c r="F36" i="5"/>
  <c r="F58" i="5"/>
  <c r="G58" i="5"/>
  <c r="H16" i="13"/>
  <c r="I16" i="13" s="1"/>
  <c r="J16" i="13" s="1"/>
  <c r="G71" i="5" s="1"/>
  <c r="D42" i="7"/>
  <c r="D51" i="5"/>
  <c r="F51" i="5" s="1"/>
  <c r="D112" i="6"/>
  <c r="C63" i="6"/>
  <c r="G61" i="6"/>
  <c r="D103" i="6"/>
  <c r="D104" i="6" s="1"/>
  <c r="N40" i="7"/>
  <c r="O40" i="7" s="1"/>
  <c r="O49" i="7" s="1"/>
  <c r="D60" i="7" s="1"/>
  <c r="N42" i="7"/>
  <c r="G59" i="5"/>
  <c r="F59" i="5"/>
  <c r="C61" i="7"/>
  <c r="K60" i="7"/>
  <c r="L108" i="7"/>
  <c r="E60" i="7"/>
  <c r="G52" i="5"/>
  <c r="F52" i="5"/>
  <c r="G61" i="5"/>
  <c r="D125" i="5"/>
  <c r="C63" i="5"/>
  <c r="F61" i="5"/>
  <c r="D27" i="7"/>
  <c r="L117" i="7"/>
  <c r="L118" i="7" s="1"/>
  <c r="L120" i="7" s="1"/>
  <c r="G54" i="6"/>
  <c r="E43" i="7"/>
  <c r="F43" i="7" s="1"/>
  <c r="F54" i="6"/>
  <c r="M5" i="7"/>
  <c r="N5" i="7" s="1"/>
  <c r="E6" i="7"/>
  <c r="O5" i="7"/>
  <c r="P5" i="7" s="1"/>
  <c r="N43" i="7" s="1"/>
  <c r="G51" i="5"/>
  <c r="E42" i="7"/>
  <c r="G53" i="6"/>
  <c r="F53" i="6"/>
  <c r="F42" i="7" l="1"/>
  <c r="G20" i="8"/>
  <c r="G32" i="8"/>
  <c r="E116" i="7"/>
  <c r="K116" i="7" s="1"/>
  <c r="L116" i="7" s="1"/>
  <c r="M116" i="7" s="1"/>
  <c r="N116" i="7" s="1"/>
  <c r="O116" i="7" s="1"/>
  <c r="P116" i="7" s="1"/>
  <c r="Q116" i="7" s="1"/>
  <c r="R116" i="7" s="1"/>
  <c r="S116" i="7" s="1"/>
  <c r="T116" i="7" s="1"/>
  <c r="U116" i="7" s="1"/>
  <c r="E120" i="7"/>
  <c r="E98" i="7"/>
  <c r="D134" i="7" s="1"/>
  <c r="F136" i="7" s="1"/>
  <c r="C127" i="6"/>
  <c r="D8" i="7"/>
  <c r="G40" i="5"/>
  <c r="F40" i="5"/>
  <c r="G63" i="5"/>
  <c r="F63" i="5"/>
  <c r="C50" i="8"/>
  <c r="G50" i="8" s="1"/>
  <c r="J85" i="5"/>
  <c r="C51" i="8" s="1"/>
  <c r="G51" i="8" s="1"/>
  <c r="F49" i="7"/>
  <c r="N44" i="7"/>
  <c r="O44" i="7" s="1"/>
  <c r="O42" i="7"/>
  <c r="M27" i="7"/>
  <c r="N27" i="7" s="1"/>
  <c r="P47" i="7" s="1"/>
  <c r="Q47" i="7" s="1"/>
  <c r="K27" i="7"/>
  <c r="L27" i="7" s="1"/>
  <c r="P46" i="7" s="1"/>
  <c r="Q46" i="7" s="1"/>
  <c r="E28" i="7"/>
  <c r="M117" i="7"/>
  <c r="M118" i="7" s="1"/>
  <c r="M120" i="7" s="1"/>
  <c r="D28" i="7"/>
  <c r="L110" i="7"/>
  <c r="L111" i="7" s="1"/>
  <c r="L103" i="7" s="1"/>
  <c r="L105" i="7" s="1"/>
  <c r="L109" i="7"/>
  <c r="O6" i="7"/>
  <c r="P6" i="7" s="1"/>
  <c r="P43" i="7" s="1"/>
  <c r="M6" i="7"/>
  <c r="N6" i="7" s="1"/>
  <c r="E7" i="7"/>
  <c r="K7" i="7" s="1"/>
  <c r="L7" i="7" s="1"/>
  <c r="R40" i="7" s="1"/>
  <c r="E61" i="7"/>
  <c r="M108" i="7"/>
  <c r="K61" i="7"/>
  <c r="C62" i="7"/>
  <c r="F138" i="7"/>
  <c r="C69" i="6" s="1"/>
  <c r="F137" i="7"/>
  <c r="K6" i="7"/>
  <c r="L6" i="7" s="1"/>
  <c r="P40" i="7" s="1"/>
  <c r="L44" i="7"/>
  <c r="M44" i="7" s="1"/>
  <c r="M42" i="7"/>
  <c r="M49" i="7" s="1"/>
  <c r="D59" i="7" s="1"/>
  <c r="E59" i="7" s="1"/>
  <c r="N45" i="7"/>
  <c r="O45" i="7" s="1"/>
  <c r="O43" i="7"/>
  <c r="G63" i="6"/>
  <c r="F63" i="6"/>
  <c r="G41" i="5"/>
  <c r="G34" i="8" s="1"/>
  <c r="G39" i="8" s="1"/>
  <c r="F41" i="5"/>
  <c r="R42" i="7" l="1"/>
  <c r="S40" i="7"/>
  <c r="S49" i="7" s="1"/>
  <c r="D62" i="7" s="1"/>
  <c r="Q43" i="7"/>
  <c r="P45" i="7"/>
  <c r="Q45" i="7" s="1"/>
  <c r="F69" i="6"/>
  <c r="E95" i="7" s="1"/>
  <c r="C69" i="5"/>
  <c r="C66" i="6"/>
  <c r="C66" i="5"/>
  <c r="F139" i="7"/>
  <c r="F140" i="7"/>
  <c r="C68" i="6"/>
  <c r="C113" i="5"/>
  <c r="N117" i="7"/>
  <c r="N118" i="7" s="1"/>
  <c r="N120" i="7" s="1"/>
  <c r="D29" i="7"/>
  <c r="G38" i="8"/>
  <c r="G40" i="8" s="1"/>
  <c r="G35" i="8"/>
  <c r="C63" i="7"/>
  <c r="K62" i="7"/>
  <c r="E62" i="7"/>
  <c r="N108" i="7"/>
  <c r="M110" i="7"/>
  <c r="M111" i="7" s="1"/>
  <c r="M103" i="7" s="1"/>
  <c r="M105" i="7" s="1"/>
  <c r="M109" i="7"/>
  <c r="D57" i="7"/>
  <c r="F50" i="7"/>
  <c r="M28" i="7"/>
  <c r="N28" i="7" s="1"/>
  <c r="R47" i="7" s="1"/>
  <c r="S47" i="7" s="1"/>
  <c r="K28" i="7"/>
  <c r="L28" i="7" s="1"/>
  <c r="R46" i="7" s="1"/>
  <c r="S46" i="7" s="1"/>
  <c r="E29" i="7"/>
  <c r="D9" i="7"/>
  <c r="P42" i="7"/>
  <c r="Q40" i="7"/>
  <c r="Q49" i="7" s="1"/>
  <c r="D61" i="7" s="1"/>
  <c r="O7" i="7"/>
  <c r="P7" i="7" s="1"/>
  <c r="R43" i="7" s="1"/>
  <c r="M7" i="7"/>
  <c r="N7" i="7" s="1"/>
  <c r="E8" i="7"/>
  <c r="K8" i="7" s="1"/>
  <c r="L8" i="7" s="1"/>
  <c r="T40" i="7" s="1"/>
  <c r="I35" i="8"/>
  <c r="E46" i="8" s="1"/>
  <c r="E127" i="6"/>
  <c r="E134" i="6" s="1"/>
  <c r="G64" i="6" s="1"/>
  <c r="G73" i="6" s="1"/>
  <c r="J92" i="6" l="1"/>
  <c r="E48" i="8"/>
  <c r="T42" i="7"/>
  <c r="U40" i="7"/>
  <c r="U49" i="7" s="1"/>
  <c r="D63" i="7" s="1"/>
  <c r="E72" i="5"/>
  <c r="F72" i="5" s="1"/>
  <c r="D72" i="6"/>
  <c r="F72" i="6" s="1"/>
  <c r="E141" i="7"/>
  <c r="F57" i="7"/>
  <c r="I40" i="8"/>
  <c r="E49" i="8" s="1"/>
  <c r="C67" i="6"/>
  <c r="F67" i="6" s="1"/>
  <c r="E93" i="7" s="1"/>
  <c r="F66" i="6"/>
  <c r="E92" i="7" s="1"/>
  <c r="D107" i="6"/>
  <c r="D116" i="6"/>
  <c r="E114" i="6" s="1"/>
  <c r="O117" i="7"/>
  <c r="O118" i="7" s="1"/>
  <c r="O120" i="7" s="1"/>
  <c r="D30" i="7"/>
  <c r="D10" i="7"/>
  <c r="N109" i="7"/>
  <c r="N110" i="7"/>
  <c r="N111" i="7" s="1"/>
  <c r="N103" i="7" s="1"/>
  <c r="N105" i="7" s="1"/>
  <c r="E113" i="5"/>
  <c r="E120" i="5" s="1"/>
  <c r="G64" i="5" s="1"/>
  <c r="H35" i="8"/>
  <c r="C46" i="8" s="1"/>
  <c r="G46" i="8" s="1"/>
  <c r="Q42" i="7"/>
  <c r="P44" i="7"/>
  <c r="Q44" i="7" s="1"/>
  <c r="G69" i="5"/>
  <c r="F69" i="5"/>
  <c r="M29" i="7"/>
  <c r="N29" i="7" s="1"/>
  <c r="T47" i="7" s="1"/>
  <c r="U47" i="7" s="1"/>
  <c r="K29" i="7"/>
  <c r="L29" i="7" s="1"/>
  <c r="T46" i="7" s="1"/>
  <c r="U46" i="7" s="1"/>
  <c r="E30" i="7"/>
  <c r="C68" i="5"/>
  <c r="F68" i="6"/>
  <c r="C70" i="6"/>
  <c r="F70" i="6" s="1"/>
  <c r="E96" i="7" s="1"/>
  <c r="O8" i="7"/>
  <c r="P8" i="7" s="1"/>
  <c r="T43" i="7" s="1"/>
  <c r="M8" i="7"/>
  <c r="N8" i="7" s="1"/>
  <c r="T41" i="7"/>
  <c r="U41" i="7" s="1"/>
  <c r="E9" i="7"/>
  <c r="K63" i="7"/>
  <c r="E63" i="7"/>
  <c r="O108" i="7"/>
  <c r="C64" i="7"/>
  <c r="R44" i="7"/>
  <c r="S44" i="7" s="1"/>
  <c r="S42" i="7"/>
  <c r="S43" i="7"/>
  <c r="R45" i="7"/>
  <c r="S45" i="7" s="1"/>
  <c r="H40" i="8"/>
  <c r="C49" i="8" s="1"/>
  <c r="G49" i="8" s="1"/>
  <c r="C67" i="5"/>
  <c r="F67" i="5" s="1"/>
  <c r="G22" i="8" s="1"/>
  <c r="F66" i="5"/>
  <c r="D11" i="7" l="1"/>
  <c r="K64" i="7"/>
  <c r="E64" i="7"/>
  <c r="P108" i="7"/>
  <c r="C65" i="7"/>
  <c r="P117" i="7"/>
  <c r="P118" i="7" s="1"/>
  <c r="P120" i="7" s="1"/>
  <c r="D31" i="7"/>
  <c r="D32" i="7" s="1"/>
  <c r="D33" i="7" s="1"/>
  <c r="D34" i="7" s="1"/>
  <c r="D35" i="7" s="1"/>
  <c r="U43" i="7"/>
  <c r="T45" i="7"/>
  <c r="U45" i="7" s="1"/>
  <c r="O109" i="7"/>
  <c r="O110" i="7"/>
  <c r="O111" i="7" s="1"/>
  <c r="O103" i="7" s="1"/>
  <c r="O105" i="7" s="1"/>
  <c r="E94" i="7"/>
  <c r="J86" i="6"/>
  <c r="F73" i="6"/>
  <c r="T44" i="7"/>
  <c r="U44" i="7" s="1"/>
  <c r="U42" i="7"/>
  <c r="C70" i="5"/>
  <c r="F68" i="5"/>
  <c r="G68" i="5"/>
  <c r="M30" i="7"/>
  <c r="N30" i="7" s="1"/>
  <c r="V47" i="7" s="1"/>
  <c r="W47" i="7" s="1"/>
  <c r="K30" i="7"/>
  <c r="L30" i="7" s="1"/>
  <c r="V46" i="7" s="1"/>
  <c r="W46" i="7" s="1"/>
  <c r="E31" i="7"/>
  <c r="M9" i="7"/>
  <c r="N9" i="7" s="1"/>
  <c r="E10" i="7"/>
  <c r="V41" i="7"/>
  <c r="W41" i="7" s="1"/>
  <c r="O9" i="7"/>
  <c r="P9" i="7" s="1"/>
  <c r="V43" i="7" s="1"/>
  <c r="K9" i="7"/>
  <c r="L9" i="7" s="1"/>
  <c r="V40" i="7" s="1"/>
  <c r="W43" i="7" l="1"/>
  <c r="V45" i="7"/>
  <c r="W45" i="7" s="1"/>
  <c r="P110" i="7"/>
  <c r="P111" i="7" s="1"/>
  <c r="P103" i="7" s="1"/>
  <c r="P105" i="7" s="1"/>
  <c r="P109" i="7"/>
  <c r="V42" i="7"/>
  <c r="W40" i="7"/>
  <c r="W49" i="7" s="1"/>
  <c r="D64" i="7" s="1"/>
  <c r="X41" i="7"/>
  <c r="Y41" i="7" s="1"/>
  <c r="O10" i="7"/>
  <c r="P10" i="7" s="1"/>
  <c r="X43" i="7" s="1"/>
  <c r="M10" i="7"/>
  <c r="N10" i="7" s="1"/>
  <c r="E11" i="7"/>
  <c r="F70" i="5"/>
  <c r="F73" i="5" s="1"/>
  <c r="G70" i="5"/>
  <c r="G73" i="5" s="1"/>
  <c r="D129" i="5"/>
  <c r="F127" i="5" s="1"/>
  <c r="J79" i="5" s="1"/>
  <c r="Q108" i="7"/>
  <c r="K65" i="7"/>
  <c r="E65" i="7"/>
  <c r="C66" i="7"/>
  <c r="E97" i="7"/>
  <c r="E100" i="7" s="1"/>
  <c r="E47" i="8"/>
  <c r="F79" i="6"/>
  <c r="J84" i="6"/>
  <c r="M31" i="7"/>
  <c r="N31" i="7" s="1"/>
  <c r="X47" i="7" s="1"/>
  <c r="Y47" i="7" s="1"/>
  <c r="K31" i="7"/>
  <c r="L31" i="7" s="1"/>
  <c r="X46" i="7" s="1"/>
  <c r="Y46" i="7" s="1"/>
  <c r="E32" i="7"/>
  <c r="K10" i="7"/>
  <c r="L10" i="7" s="1"/>
  <c r="X40" i="7" s="1"/>
  <c r="D12" i="7"/>
  <c r="K11" i="7"/>
  <c r="L11" i="7" s="1"/>
  <c r="Z40" i="7" s="1"/>
  <c r="G9" i="8" l="1"/>
  <c r="G15" i="8" s="1"/>
  <c r="C47" i="8"/>
  <c r="G47" i="8" s="1"/>
  <c r="G19" i="8"/>
  <c r="G23" i="8" s="1"/>
  <c r="C44" i="8" s="1"/>
  <c r="J78" i="5"/>
  <c r="I15" i="8"/>
  <c r="E43" i="8" s="1"/>
  <c r="W42" i="7"/>
  <c r="V44" i="7"/>
  <c r="W44" i="7" s="1"/>
  <c r="Z42" i="7"/>
  <c r="AA40" i="7"/>
  <c r="AA49" i="7" s="1"/>
  <c r="D66" i="7" s="1"/>
  <c r="D13" i="7"/>
  <c r="K12" i="7"/>
  <c r="L12" i="7" s="1"/>
  <c r="AB40" i="7" s="1"/>
  <c r="J85" i="6"/>
  <c r="J87" i="5"/>
  <c r="Z41" i="7"/>
  <c r="AA41" i="7" s="1"/>
  <c r="O11" i="7"/>
  <c r="P11" i="7" s="1"/>
  <c r="Z43" i="7" s="1"/>
  <c r="M11" i="7"/>
  <c r="N11" i="7" s="1"/>
  <c r="E12" i="7"/>
  <c r="C48" i="8"/>
  <c r="G48" i="8" s="1"/>
  <c r="J84" i="5"/>
  <c r="X42" i="7"/>
  <c r="Y40" i="7"/>
  <c r="Y49" i="7" s="1"/>
  <c r="D65" i="7" s="1"/>
  <c r="R108" i="7"/>
  <c r="K66" i="7"/>
  <c r="C67" i="7"/>
  <c r="E66" i="7"/>
  <c r="Q109" i="7"/>
  <c r="Q110" i="7"/>
  <c r="Q111" i="7" s="1"/>
  <c r="Q103" i="7" s="1"/>
  <c r="Q105" i="7" s="1"/>
  <c r="M32" i="7"/>
  <c r="N32" i="7" s="1"/>
  <c r="Z47" i="7" s="1"/>
  <c r="AA47" i="7" s="1"/>
  <c r="K32" i="7"/>
  <c r="L32" i="7" s="1"/>
  <c r="Z46" i="7" s="1"/>
  <c r="AA46" i="7" s="1"/>
  <c r="E33" i="7"/>
  <c r="Y43" i="7"/>
  <c r="X45" i="7"/>
  <c r="Y45" i="7" s="1"/>
  <c r="G26" i="8" l="1"/>
  <c r="G29" i="8" s="1"/>
  <c r="C45" i="8" s="1"/>
  <c r="H23" i="8"/>
  <c r="B92" i="5"/>
  <c r="D83" i="5"/>
  <c r="B97" i="6"/>
  <c r="D89" i="6"/>
  <c r="H11" i="21" s="1"/>
  <c r="I23" i="8"/>
  <c r="E44" i="8" s="1"/>
  <c r="G44" i="8" s="1"/>
  <c r="H15" i="8"/>
  <c r="C43" i="8" s="1"/>
  <c r="G43" i="8" s="1"/>
  <c r="AA43" i="7"/>
  <c r="Z45" i="7"/>
  <c r="AA45" i="7" s="1"/>
  <c r="R110" i="7"/>
  <c r="R111" i="7" s="1"/>
  <c r="R103" i="7" s="1"/>
  <c r="R105" i="7" s="1"/>
  <c r="R109" i="7"/>
  <c r="D14" i="7"/>
  <c r="K13" i="7"/>
  <c r="L13" i="7" s="1"/>
  <c r="AD40" i="7" s="1"/>
  <c r="K33" i="7"/>
  <c r="L33" i="7" s="1"/>
  <c r="AB46" i="7" s="1"/>
  <c r="AC46" i="7" s="1"/>
  <c r="E34" i="7"/>
  <c r="M33" i="7"/>
  <c r="N33" i="7" s="1"/>
  <c r="AB47" i="7" s="1"/>
  <c r="AC47" i="7" s="1"/>
  <c r="Y42" i="7"/>
  <c r="X44" i="7"/>
  <c r="Y44" i="7" s="1"/>
  <c r="AB42" i="7"/>
  <c r="AC40" i="7"/>
  <c r="AC49" i="7" s="1"/>
  <c r="D67" i="7" s="1"/>
  <c r="O12" i="7"/>
  <c r="P12" i="7" s="1"/>
  <c r="AB43" i="7" s="1"/>
  <c r="M12" i="7"/>
  <c r="N12" i="7" s="1"/>
  <c r="E13" i="7"/>
  <c r="AB41" i="7"/>
  <c r="AC41" i="7" s="1"/>
  <c r="K67" i="7"/>
  <c r="C68" i="7"/>
  <c r="S108" i="7"/>
  <c r="E67" i="7"/>
  <c r="Z44" i="7"/>
  <c r="AA44" i="7" s="1"/>
  <c r="AA42" i="7"/>
  <c r="E26" i="21" l="1"/>
  <c r="E19" i="21"/>
  <c r="E16" i="21"/>
  <c r="E7" i="21"/>
  <c r="E13" i="21"/>
  <c r="E12" i="21"/>
  <c r="E9" i="21"/>
  <c r="E11" i="21"/>
  <c r="E20" i="21"/>
  <c r="E14" i="21"/>
  <c r="E8" i="21"/>
  <c r="E22" i="21"/>
  <c r="E15" i="21"/>
  <c r="E21" i="21"/>
  <c r="E24" i="21"/>
  <c r="E25" i="21"/>
  <c r="E10" i="21"/>
  <c r="E18" i="21"/>
  <c r="E17" i="21"/>
  <c r="E23" i="21"/>
  <c r="AD42" i="7"/>
  <c r="AE40" i="7"/>
  <c r="AE49" i="7" s="1"/>
  <c r="D68" i="7" s="1"/>
  <c r="S110" i="7"/>
  <c r="S111" i="7" s="1"/>
  <c r="S103" i="7" s="1"/>
  <c r="S105" i="7" s="1"/>
  <c r="S109" i="7"/>
  <c r="AB44" i="7"/>
  <c r="AC44" i="7" s="1"/>
  <c r="AC42" i="7"/>
  <c r="H11" i="9"/>
  <c r="H11" i="15"/>
  <c r="I29" i="8"/>
  <c r="E45" i="8" s="1"/>
  <c r="G45" i="8" s="1"/>
  <c r="E68" i="7"/>
  <c r="T108" i="7"/>
  <c r="K68" i="7"/>
  <c r="C69" i="7"/>
  <c r="H29" i="8"/>
  <c r="AB45" i="7"/>
  <c r="AC45" i="7" s="1"/>
  <c r="AC43" i="7"/>
  <c r="M13" i="7"/>
  <c r="N13" i="7" s="1"/>
  <c r="E14" i="7"/>
  <c r="K14" i="7" s="1"/>
  <c r="L14" i="7" s="1"/>
  <c r="AF40" i="7" s="1"/>
  <c r="AD41" i="7"/>
  <c r="AE41" i="7" s="1"/>
  <c r="O13" i="7"/>
  <c r="P13" i="7" s="1"/>
  <c r="AD43" i="7" s="1"/>
  <c r="K34" i="7"/>
  <c r="L34" i="7" s="1"/>
  <c r="AD46" i="7" s="1"/>
  <c r="AE46" i="7" s="1"/>
  <c r="E35" i="7"/>
  <c r="M34" i="7"/>
  <c r="N34" i="7" s="1"/>
  <c r="AD47" i="7" s="1"/>
  <c r="AE47" i="7" s="1"/>
  <c r="E27" i="21" l="1"/>
  <c r="H12" i="21" s="1"/>
  <c r="D8" i="9"/>
  <c r="D19" i="9"/>
  <c r="D17" i="9"/>
  <c r="D13" i="9"/>
  <c r="D21" i="9"/>
  <c r="D12" i="9"/>
  <c r="D18" i="9"/>
  <c r="D10" i="9"/>
  <c r="D14" i="9"/>
  <c r="D24" i="9"/>
  <c r="D23" i="9"/>
  <c r="D26" i="9"/>
  <c r="D25" i="9"/>
  <c r="D15" i="9"/>
  <c r="D22" i="9"/>
  <c r="D11" i="9"/>
  <c r="D20" i="9"/>
  <c r="D16" i="9"/>
  <c r="D9" i="9"/>
  <c r="AF42" i="7"/>
  <c r="AG40" i="7"/>
  <c r="AG49" i="7" s="1"/>
  <c r="D69" i="7" s="1"/>
  <c r="K35" i="7"/>
  <c r="L35" i="7" s="1"/>
  <c r="AF46" i="7" s="1"/>
  <c r="AG46" i="7" s="1"/>
  <c r="M35" i="7"/>
  <c r="N35" i="7" s="1"/>
  <c r="AF47" i="7" s="1"/>
  <c r="AG47" i="7" s="1"/>
  <c r="D7" i="9"/>
  <c r="AD45" i="7"/>
  <c r="AE45" i="7" s="1"/>
  <c r="AE43" i="7"/>
  <c r="E69" i="7"/>
  <c r="U108" i="7"/>
  <c r="K69" i="7"/>
  <c r="M70" i="7" s="1"/>
  <c r="AF41" i="7"/>
  <c r="AG41" i="7" s="1"/>
  <c r="O14" i="7"/>
  <c r="P14" i="7" s="1"/>
  <c r="AF43" i="7" s="1"/>
  <c r="M14" i="7"/>
  <c r="N14" i="7" s="1"/>
  <c r="T110" i="7"/>
  <c r="T111" i="7" s="1"/>
  <c r="T103" i="7" s="1"/>
  <c r="T105" i="7" s="1"/>
  <c r="T109" i="7"/>
  <c r="E25" i="15"/>
  <c r="E21" i="15"/>
  <c r="E17" i="15"/>
  <c r="E13" i="15"/>
  <c r="E10" i="15"/>
  <c r="E16" i="15"/>
  <c r="E12" i="15"/>
  <c r="E8" i="15"/>
  <c r="E20" i="15"/>
  <c r="E24" i="15"/>
  <c r="E15" i="15"/>
  <c r="E7" i="15"/>
  <c r="E19" i="15"/>
  <c r="E11" i="15"/>
  <c r="E18" i="15"/>
  <c r="E23" i="15"/>
  <c r="E22" i="15"/>
  <c r="E9" i="15"/>
  <c r="E14" i="15"/>
  <c r="E26" i="15"/>
  <c r="AE42" i="7"/>
  <c r="AD44" i="7"/>
  <c r="AE44" i="7" s="1"/>
  <c r="D27" i="9" l="1"/>
  <c r="H12" i="9" s="1"/>
  <c r="AG43" i="7"/>
  <c r="AF45" i="7"/>
  <c r="AG45" i="7" s="1"/>
  <c r="E27" i="15"/>
  <c r="H12" i="15" s="1"/>
  <c r="U110" i="7"/>
  <c r="U111" i="7" s="1"/>
  <c r="U103" i="7" s="1"/>
  <c r="U105" i="7" s="1"/>
  <c r="U109" i="7"/>
  <c r="AG42" i="7"/>
  <c r="AF44" i="7"/>
  <c r="AG44" i="7" s="1"/>
  <c r="F89" i="6" l="1"/>
  <c r="H89" i="6" s="1"/>
  <c r="J90" i="6" s="1"/>
  <c r="F83" i="5"/>
  <c r="H83" i="5" s="1"/>
  <c r="B94" i="6" l="1"/>
  <c r="B89" i="5"/>
  <c r="J8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00000000-0006-0000-0200-000005000000}">
      <text>
        <r>
          <rPr>
            <sz val="10"/>
            <rFont val="Arial"/>
            <family val="2"/>
          </rPr>
          <t xml:space="preserve">Les infos que vous retrouvez à ce niveau sont répercutées automatiquement dans le BP 
</t>
        </r>
      </text>
    </comment>
    <comment ref="H20" authorId="0" shapeId="0" xr:uid="{00000000-0006-0000-0200-000006000000}">
      <text>
        <r>
          <rPr>
            <sz val="10"/>
            <rFont val="Arial"/>
            <family val="2"/>
          </rPr>
          <t xml:space="preserve">Si vous voulez que l'Assurance décés des Cadres apparaisse de manière distincte sur le Bulletin de Paie vous saisirez le taux de 1,5% en PP 
</t>
        </r>
      </text>
    </comment>
    <comment ref="E26" authorId="0" shapeId="0" xr:uid="{00000000-0006-0000-0200-000001000000}">
      <text>
        <r>
          <rPr>
            <sz val="10"/>
            <rFont val="Arial"/>
            <family val="2"/>
          </rPr>
          <t xml:space="preserve">Ces données sont reportées directement sur le BP une fois saisies à ce niveau 
</t>
        </r>
      </text>
    </comment>
    <comment ref="E32" authorId="0" shapeId="0" xr:uid="{00000000-0006-0000-0200-000002000000}">
      <text>
        <r>
          <rPr>
            <sz val="10"/>
            <rFont val="Arial"/>
            <family val="2"/>
          </rPr>
          <t xml:space="preserve">Les Bulletins de Paie sont paramétrés indifféremment pour les Cadres et les Non Cadres à partir du moment  où vous avez correctement saisi NC ou C ( 1 ou 2) 
</t>
        </r>
      </text>
    </comment>
    <comment ref="F46" authorId="0" shapeId="0" xr:uid="{00000000-0006-0000-0200-000003000000}">
      <text>
        <r>
          <rPr>
            <sz val="10"/>
            <rFont val="Arial"/>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00000000-0006-0000-0200-000004000000}">
      <text>
        <r>
          <rPr>
            <sz val="10"/>
            <rFont val="Arial"/>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00000000-0006-0000-1200-000001000000}">
      <text>
        <r>
          <rPr>
            <sz val="10"/>
            <rFont val="Arial"/>
            <family val="2"/>
          </rPr>
          <t xml:space="preserve">Il faut prendre le PMSS du mois précédant l'arrêt
de travail et l'appliquer aux autres mois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00000000-0006-0000-1300-000001000000}">
      <text>
        <r>
          <rPr>
            <sz val="10"/>
            <rFont val="Arial"/>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00000000-0006-0000-0400-000001000000}">
      <text>
        <r>
          <rPr>
            <sz val="10"/>
            <rFont val="Arial"/>
            <family val="2"/>
          </rPr>
          <t xml:space="preserve">
</t>
        </r>
        <r>
          <rPr>
            <sz val="8"/>
            <color rgb="FF000000"/>
            <rFont val="Times New Roman"/>
            <family val="1"/>
            <charset val="1"/>
          </rPr>
          <t xml:space="preserve">(En plus des 7 % si Salaire Brut &gt; 2,25 SMIC </t>
        </r>
      </text>
    </comment>
    <comment ref="C37" authorId="0" shapeId="0" xr:uid="{00000000-0006-0000-0400-000002000000}">
      <text>
        <r>
          <rPr>
            <sz val="10"/>
            <rFont val="Arial"/>
            <family val="2"/>
          </rPr>
          <t xml:space="preserve">La limite de 2,25 SMIC pour que cette cotisation se déclenche est paramétrée sur la base de cotisation.
</t>
        </r>
      </text>
    </comment>
    <comment ref="C52" authorId="0" shapeId="0" xr:uid="{00000000-0006-0000-0400-000003000000}">
      <text>
        <r>
          <rPr>
            <sz val="10"/>
            <rFont val="Arial"/>
            <family val="2"/>
          </rPr>
          <t xml:space="preserve">Les limites des bases de cotisations sont paramétrées sur un mois isolé. Le maximum de la Tranche 2 est de 7*PMSS ce qui correspond à un  salaire plafond 
 de 8*PMSS
</t>
        </r>
      </text>
    </comment>
    <comment ref="C55" authorId="0" shapeId="0" xr:uid="{00000000-0006-0000-0400-000004000000}">
      <text>
        <r>
          <rPr>
            <sz val="10"/>
            <rFont val="Arial"/>
            <family val="2"/>
          </rPr>
          <t xml:space="preserve">La particularité de cette Cotisation est que lorsque le Salaire Brut est inférieur au PMSS la T1 est nulle 
</t>
        </r>
      </text>
    </comment>
    <comment ref="C59" authorId="0" shapeId="0" xr:uid="{00000000-0006-0000-0400-000005000000}">
      <text>
        <r>
          <rPr>
            <sz val="10"/>
            <rFont val="Arial"/>
            <family val="2"/>
          </rPr>
          <t xml:space="preserve">La limite de 3,3 SMIC pour que cette cotisation se déclenche est paramétrée pour un mois isolé 
</t>
        </r>
      </text>
    </comment>
    <comment ref="G64" authorId="0" shapeId="0" xr:uid="{00000000-0006-0000-0400-00000A000000}">
      <text>
        <r>
          <rPr>
            <sz val="10"/>
            <rFont val="Arial"/>
            <family val="2"/>
          </rPr>
          <t xml:space="preserve">Ce montant est reporté depuis le calcul effectué ci-dessous en Page 2 
</t>
        </r>
      </text>
    </comment>
    <comment ref="G71" authorId="0" shapeId="0" xr:uid="{00000000-0006-0000-0400-00000B000000}">
      <text>
        <r>
          <rPr>
            <sz val="10"/>
            <rFont val="Arial"/>
            <family val="2"/>
          </rPr>
          <t xml:space="preserve">La REG GEN de COT. Éventuellement applicable est reprise à partir de la Feuille RED. GEN. De COT. 
</t>
        </r>
      </text>
    </comment>
    <comment ref="D83" authorId="0" shapeId="0" xr:uid="{00000000-0006-0000-0400-000007000000}">
      <text>
        <r>
          <rPr>
            <sz val="10"/>
            <rFont val="Arial"/>
            <family val="2"/>
          </rPr>
          <t xml:space="preserve">La base du PAS n'est pas toujours égale au Net Imposable. Cf la correction pour une explication en présence d'IJSS AT </t>
        </r>
      </text>
    </comment>
    <comment ref="F83" authorId="0" shapeId="0" xr:uid="{00000000-0006-0000-0400-000009000000}">
      <text>
        <r>
          <rPr>
            <sz val="10"/>
            <rFont val="Arial"/>
            <family val="2"/>
          </rPr>
          <t xml:space="preserve">Le taux du PAS est récupéré automatiquement dans la Feuille TAUX NEUTRE ( dans le cas où celui-ci s'applique) 
</t>
        </r>
      </text>
    </comment>
    <comment ref="J85" authorId="0" shapeId="0" xr:uid="{00000000-0006-0000-0400-00000C000000}">
      <text>
        <r>
          <rPr>
            <sz val="10"/>
            <rFont val="Arial"/>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400-00000D000000}">
      <text>
        <r>
          <rPr>
            <sz val="10"/>
            <rFont val="Arial"/>
            <family val="2"/>
          </rPr>
          <t xml:space="preserve">Net à payer avant impôt sur le revenu moins le Prélévement à la Source
</t>
        </r>
      </text>
    </comment>
    <comment ref="E120" authorId="0" shapeId="0" xr:uid="{00000000-0006-0000-0400-000008000000}">
      <text>
        <r>
          <rPr>
            <sz val="10"/>
            <rFont val="Arial"/>
            <family val="2"/>
          </rPr>
          <t xml:space="preserve">Ce montant est reporté à la Ligne Autres Contributions de l'Employeur du BP 
Ligne 60
</t>
        </r>
      </text>
    </comment>
    <comment ref="C123" authorId="0" shapeId="0" xr:uid="{00000000-0006-0000-0400-000006000000}">
      <text>
        <r>
          <rPr>
            <sz val="10"/>
            <rFont val="Arial"/>
            <family val="2"/>
          </rPr>
          <t xml:space="preserve">Les explications détaillées de ces calculs se trouvent dans le cours
</t>
        </r>
        <r>
          <rPr>
            <b/>
            <sz val="9"/>
            <color rgb="FF000000"/>
            <rFont val="Tahoma"/>
            <family val="2"/>
            <charset val="1"/>
          </rPr>
          <t xml:space="preserve">
</t>
        </r>
        <r>
          <rPr>
            <sz val="9"/>
            <color rgb="FF000000"/>
            <rFont val="Tahoma"/>
            <family val="2"/>
            <charset val="1"/>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00000000-0006-0000-0500-000001000000}">
      <text>
        <r>
          <rPr>
            <sz val="10"/>
            <rFont val="Arial"/>
            <family val="2"/>
          </rPr>
          <t xml:space="preserve">
</t>
        </r>
        <r>
          <rPr>
            <sz val="8"/>
            <color rgb="FF000000"/>
            <rFont val="Times New Roman"/>
            <family val="1"/>
            <charset val="1"/>
          </rPr>
          <t xml:space="preserve">(En plus des 7 % si Salaire Brut &gt; 2,25 SMIC </t>
        </r>
      </text>
    </comment>
    <comment ref="F79" authorId="0" shapeId="0" xr:uid="{00000000-0006-0000-0500-000003000000}">
      <text>
        <r>
          <rPr>
            <sz val="10"/>
            <rFont val="Arial"/>
            <family val="2"/>
          </rPr>
          <t xml:space="preserve">Le MNS comprend les IJSS Nettes (2025) lorsque l'entreprise  pratique  la subrogation. 
En cas de non subrogation c'est au salarié de le faire. </t>
        </r>
      </text>
    </comment>
    <comment ref="F83" authorId="0" shapeId="0" xr:uid="{00000000-0006-0000-0500-000004000000}">
      <text>
        <r>
          <rPr>
            <sz val="10"/>
            <rFont val="Arial"/>
            <family val="2"/>
          </rPr>
          <t xml:space="preserve">
En cas de non subrogation les IJSS nettes n'apparaissent jamais sur le bas du BP</t>
        </r>
      </text>
    </comment>
    <comment ref="D89" authorId="0" shapeId="0" xr:uid="{00000000-0006-0000-0500-000002000000}">
      <text>
        <r>
          <rPr>
            <sz val="10"/>
            <rFont val="Arial"/>
            <family val="2"/>
          </rPr>
          <t xml:space="preserve">La base du PAS n'est pas toujours égale au Net Imposable. </t>
        </r>
      </text>
    </comment>
    <comment ref="F89" authorId="0" shapeId="0" xr:uid="{00000000-0006-0000-0500-000005000000}">
      <text>
        <r>
          <rPr>
            <sz val="10"/>
            <rFont val="Arial"/>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10"/>
            <rFont val="Arial"/>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10"/>
            <rFont val="Arial"/>
            <family val="2"/>
          </rPr>
          <t xml:space="preserve">Le montant repris dans cette cellule est celui des heures supplémentaires et complémentaires du bulletin de paie (Ligne 18  à Ligne 22
) 
</t>
        </r>
      </text>
    </comment>
    <comment ref="D57" authorId="0" shapeId="0" xr:uid="{00000000-0006-0000-0600-000003000000}">
      <text>
        <r>
          <rPr>
            <sz val="10"/>
            <rFont val="Arial"/>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C000000}">
      <text>
        <r>
          <rPr>
            <sz val="10"/>
            <rFont val="Arial"/>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7000000}">
      <text>
        <r>
          <rPr>
            <sz val="10"/>
            <rFont val="Arial"/>
            <family val="2"/>
          </rPr>
          <t xml:space="preserve">Lorsque le Cumul des heures supplémentaires dépasse 5358 la réduction a comme base de calcul 5358  moins le cumul du mois précédent
</t>
        </r>
      </text>
    </comment>
    <comment ref="F84" authorId="0" shapeId="0" xr:uid="{00000000-0006-0000-0600-00000D000000}">
      <text>
        <r>
          <rPr>
            <sz val="10"/>
            <rFont val="Arial"/>
            <family val="2"/>
          </rPr>
          <t xml:space="preserve">Dans ce tableau sont repris à partir du BP  les élements nécessaires au calcul du Net imposable </t>
        </r>
      </text>
    </comment>
    <comment ref="E94" authorId="0" shapeId="0" xr:uid="{00000000-0006-0000-0600-000008000000}">
      <text>
        <r>
          <rPr>
            <sz val="10"/>
            <rFont val="Arial"/>
            <family val="2"/>
          </rPr>
          <t xml:space="preserve">Tant que le seuil de 8037 euros n'a pas été dépassé la CSG à 6,8 % sur les heures supplémentaires est non déductible
</t>
        </r>
      </text>
    </comment>
    <comment ref="E95" authorId="0" shapeId="0" xr:uid="{00000000-0006-0000-0600-000009000000}">
      <text>
        <r>
          <rPr>
            <sz val="10"/>
            <rFont val="Arial"/>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10"/>
            <rFont val="Arial"/>
            <family val="2"/>
          </rPr>
          <t xml:space="preserve">Les heures Supplémentaires au-delà de 8037 euros ne sont pas déductibles fiscalement et sont donc imposables à l'Impôt sur le revenu
</t>
        </r>
      </text>
    </comment>
    <comment ref="F103" authorId="0" shapeId="0" xr:uid="{00000000-0006-0000-0600-00000E000000}">
      <text>
        <r>
          <rPr>
            <sz val="10"/>
            <rFont val="Arial"/>
            <family val="2"/>
          </rPr>
          <t xml:space="preserve">La partie des heures supplémentaires cumulées qui dépasse 8037 euros devient imposable
</t>
        </r>
      </text>
    </comment>
    <comment ref="E105" authorId="0" shapeId="0" xr:uid="{00000000-0006-0000-0600-00000B000000}">
      <text>
        <r>
          <rPr>
            <sz val="10"/>
            <rFont val="Arial"/>
            <family val="2"/>
          </rPr>
          <t xml:space="preserve">Ce montant est reporté dans le BP 
</t>
        </r>
      </text>
    </comment>
    <comment ref="D129" authorId="0" shapeId="0" xr:uid="{00000000-0006-0000-0600-000004000000}">
      <text>
        <r>
          <rPr>
            <sz val="10"/>
            <rFont val="Arial"/>
            <family val="2"/>
          </rPr>
          <t xml:space="preserve">Lorsque le Salaire Brut est supérieur à 4 *PMSS la base CSG CRDS est calculée sur 0,9825 * 4 * PMSS + Brut - 4 * PMSS 
</t>
        </r>
        <r>
          <rPr>
            <sz val="9"/>
            <color rgb="FF000000"/>
            <rFont val="Tahoma"/>
            <family val="2"/>
            <charset val="1"/>
          </rPr>
          <t xml:space="preserve">
</t>
        </r>
      </text>
    </comment>
    <comment ref="D133" authorId="0" shapeId="0" xr:uid="{00000000-0006-0000-0600-000005000000}">
      <text>
        <r>
          <rPr>
            <sz val="10"/>
            <rFont val="Arial"/>
            <family val="2"/>
          </rPr>
          <t xml:space="preserve">Dans les cellules de calcul ci-dessous les formules commencent par voir si le Salaire brut total est supérieur ou non à la limite de 4 *PMSS 
</t>
        </r>
        <r>
          <rPr>
            <sz val="9"/>
            <color rgb="FF000000"/>
            <rFont val="Tahoma"/>
            <family val="2"/>
            <charset val="1"/>
          </rPr>
          <t xml:space="preserve">
</t>
        </r>
      </text>
    </comment>
    <comment ref="D134" authorId="0" shapeId="0" xr:uid="{00000000-0006-0000-0600-000006000000}">
      <text>
        <r>
          <rPr>
            <sz val="10"/>
            <rFont val="Arial"/>
            <family val="2"/>
          </rPr>
          <t xml:space="preserve">Bienvenue:
</t>
        </r>
        <r>
          <rPr>
            <sz val="9"/>
            <color rgb="FF000000"/>
            <rFont val="Tahoma"/>
            <family val="2"/>
            <charset val="1"/>
          </rPr>
          <t xml:space="preserve">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00000000-0006-0000-0900-000001000000}">
      <text>
        <r>
          <rPr>
            <sz val="10"/>
            <rFont val="Arial"/>
            <family val="2"/>
          </rPr>
          <t xml:space="preserve">
</t>
        </r>
        <r>
          <rPr>
            <sz val="8"/>
            <color rgb="FF000000"/>
            <rFont val="Times New Roman"/>
            <family val="1"/>
            <charset val="1"/>
          </rPr>
          <t xml:space="preserve">(En plus des 7 % si Salaire Brut &gt; 2,2
5 SMIC </t>
        </r>
      </text>
    </comment>
    <comment ref="D4" authorId="0" shapeId="0" xr:uid="{00000000-0006-0000-0900-00000C000000}">
      <text>
        <r>
          <rPr>
            <sz val="10"/>
            <rFont val="Arial"/>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00000000-0006-0000-0900-000002000000}">
      <text>
        <r>
          <rPr>
            <sz val="10"/>
            <rFont val="Arial"/>
            <family val="2"/>
          </rPr>
          <t xml:space="preserve">Taux propre à chaque entreprise 
</t>
        </r>
      </text>
    </comment>
    <comment ref="B6" authorId="0" shapeId="0" xr:uid="{00000000-0006-0000-0900-000003000000}">
      <text>
        <r>
          <rPr>
            <sz val="10"/>
            <rFont val="Arial"/>
            <family val="2"/>
          </rPr>
          <t xml:space="preserve">Taux propre à chaque entreprise
</t>
        </r>
      </text>
    </comment>
    <comment ref="B8" authorId="0" shapeId="0" xr:uid="{00000000-0006-0000-0900-000004000000}">
      <text>
        <r>
          <rPr>
            <sz val="10"/>
            <rFont val="Arial"/>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00000000-0006-0000-0900-00000D000000}">
      <text>
        <r>
          <rPr>
            <sz val="10"/>
            <rFont val="Arial"/>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00000000-0006-0000-0900-000005000000}">
      <text>
        <r>
          <rPr>
            <sz val="10"/>
            <rFont val="Arial"/>
            <family val="2"/>
          </rPr>
          <t xml:space="preserve"> </t>
        </r>
        <r>
          <rPr>
            <sz val="9"/>
            <color rgb="FF000000"/>
            <rFont val="Tahoma"/>
            <family val="2"/>
            <charset val="1"/>
          </rPr>
          <t xml:space="preserve">Effectif salariés &lt; 50 </t>
        </r>
      </text>
    </comment>
    <comment ref="B27" authorId="0" shapeId="0" xr:uid="{00000000-0006-0000-0900-000006000000}">
      <text>
        <r>
          <rPr>
            <sz val="10"/>
            <rFont val="Arial"/>
            <family val="2"/>
          </rPr>
          <t xml:space="preserve">
Effectif salariés &gt; = 50</t>
        </r>
      </text>
    </comment>
    <comment ref="B28" authorId="0" shapeId="0" xr:uid="{00000000-0006-0000-0900-000007000000}">
      <text>
        <r>
          <rPr>
            <sz val="10"/>
            <rFont val="Arial"/>
            <family val="2"/>
          </rPr>
          <t xml:space="preserve">(Taux Variable) Applicable Si Effectif salariés &gt;= 11
</t>
        </r>
      </text>
    </comment>
    <comment ref="E28" authorId="0" shapeId="0" xr:uid="{00000000-0006-0000-0900-00000E000000}">
      <text>
        <r>
          <rPr>
            <sz val="10"/>
            <rFont val="Arial"/>
            <family val="2"/>
          </rPr>
          <t xml:space="preserve">Taux applicable pour Paris et la petite couronne (Hauts-de-Seine, de la Seine-Saint-Denis et du Val-de-Marne) à compter du 01/02/2024 l(e taux est passé de 2,95% à 3,2%)
</t>
        </r>
        <r>
          <rPr>
            <b/>
            <sz val="9"/>
            <color rgb="FF000000"/>
            <rFont val="Tahoma"/>
            <family val="2"/>
            <charset val="1"/>
          </rPr>
          <t xml:space="preserve">
</t>
        </r>
      </text>
    </comment>
    <comment ref="B30" authorId="0" shapeId="0" xr:uid="{00000000-0006-0000-0900-000008000000}">
      <text>
        <r>
          <rPr>
            <sz val="10"/>
            <rFont val="Arial"/>
            <family val="2"/>
          </rPr>
          <t xml:space="preserve"> </t>
        </r>
        <r>
          <rPr>
            <sz val="9"/>
            <color rgb="FF000000"/>
            <rFont val="Tahoma"/>
            <family val="2"/>
            <charset val="1"/>
          </rPr>
          <t>Si Effectif salariés &gt;= 11)</t>
        </r>
      </text>
    </comment>
    <comment ref="B34" authorId="0" shapeId="0" xr:uid="{00000000-0006-0000-0900-000009000000}">
      <text>
        <r>
          <rPr>
            <sz val="10"/>
            <rFont val="Arial"/>
            <family val="2"/>
          </rPr>
          <t>(Si Effectifs salariés &gt; = 11 )</t>
        </r>
      </text>
    </comment>
    <comment ref="B35" authorId="0" shapeId="0" xr:uid="{00000000-0006-0000-0900-00000A000000}">
      <text>
        <r>
          <rPr>
            <sz val="10"/>
            <rFont val="Arial"/>
            <family val="2"/>
          </rPr>
          <t xml:space="preserve">(Si Effectifs salariés &lt; 11 )
</t>
        </r>
      </text>
    </comment>
    <comment ref="B36" authorId="0" shapeId="0" xr:uid="{00000000-0006-0000-0900-00000B000000}">
      <text>
        <r>
          <rPr>
            <sz val="10"/>
            <rFont val="Arial"/>
            <family val="2"/>
          </rPr>
          <t xml:space="preserve"> 
</t>
        </r>
        <r>
          <rPr>
            <sz val="9"/>
            <color rgb="FF000000"/>
            <rFont val="Tahoma"/>
            <family val="2"/>
            <charset val="1"/>
          </rPr>
          <t xml:space="preserve">Si Effectifs Salariés &gt;=50 salariés (1)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00000000-0006-0000-0A00-000001000000}">
      <text>
        <r>
          <rPr>
            <sz val="10"/>
            <rFont val="Arial"/>
            <family val="2"/>
          </rPr>
          <t xml:space="preserve">Bienvenue:
</t>
        </r>
        <r>
          <rPr>
            <sz val="9"/>
            <color rgb="FF000000"/>
            <rFont val="Tahoma"/>
            <family val="2"/>
            <charset val="1"/>
          </rPr>
          <t xml:space="preserve">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D8" authorId="0" shapeId="0" xr:uid="{00000000-0006-0000-0800-000001000000}">
      <text>
        <r>
          <rPr>
            <sz val="10"/>
            <rFont val="Arial"/>
            <family val="2"/>
          </rPr>
          <t xml:space="preserve">
La table est programmée de telle sorte que le pourcentage soit reporté dans cette colonne si le salaire net PAS reporté en H11 est supérieur à la tranch inférieure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0000000-0006-0000-0E00-000001000000}">
      <text>
        <r>
          <rPr>
            <sz val="10"/>
            <rFont val="Arial"/>
            <family val="2"/>
          </rPr>
          <t xml:space="preserve">
La table est programmée de telle sorte que le pourcentage soit reporté dans cette colonne si le salaire net PAS reporté en H11 est supérieur à la tranch inférieure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D56C83B2-8CAA-4B10-B982-F336819C6CBB}">
      <text>
        <r>
          <rPr>
            <sz val="10"/>
            <rFont val="Arial"/>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<sst xmlns="http://schemas.openxmlformats.org/spreadsheetml/2006/main" count="1413" uniqueCount="894">
  <si>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</si>
  <si>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</si>
  <si>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</si>
  <si>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</si>
  <si>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</si>
  <si>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</si>
  <si>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</si>
  <si>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</si>
  <si>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</si>
  <si>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</si>
  <si>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</si>
  <si>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 xml:space="preserve">Heures URSSAF </t>
  </si>
  <si>
    <t>Tickets restaurant …</t>
  </si>
  <si>
    <t xml:space="preserve">Remboursement Carte Navigo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</si>
  <si>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</si>
  <si>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</si>
  <si>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</si>
  <si>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</si>
  <si>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</si>
  <si>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</si>
  <si>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</si>
  <si>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</si>
  <si>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</si>
  <si>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</si>
  <si>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</si>
  <si>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Sur la présente maquette les reports ne sont effectués </t>
  </si>
  <si>
    <t xml:space="preserve">Le principe du masque de saisie est de réunir sur une même feuille </t>
  </si>
  <si>
    <t>que sur 1 mois. Pour les reports sur Mois 1, MOIS 2 et MOIS 3</t>
  </si>
  <si>
    <t xml:space="preserve">Cf MAQUETTE sur 3 MOIS en REGULARISATION PROGRESSIVE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</si>
  <si>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</si>
  <si>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</si>
  <si>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</si>
  <si>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</si>
  <si>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</si>
  <si>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</si>
  <si>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</si>
  <si>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</si>
  <si>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</si>
  <si>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</si>
  <si>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</si>
  <si>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</si>
  <si>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</si>
  <si>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</si>
  <si>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</si>
  <si>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</si>
  <si>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</si>
  <si>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</si>
  <si>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</si>
  <si>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</si>
  <si>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</si>
  <si>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</si>
  <si>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</si>
  <si>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2,25 SMIC</t>
  </si>
  <si>
    <t>la limite de 3,3 SMIC</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</si>
  <si>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</si>
  <si>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</si>
  <si>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</si>
  <si>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</si>
  <si>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</si>
  <si>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</si>
  <si>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</si>
  <si>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</si>
  <si>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</si>
  <si>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</si>
  <si>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</si>
  <si>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</si>
  <si>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</si>
  <si>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</si>
  <si>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</si>
  <si>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</si>
  <si>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</si>
  <si>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</si>
  <si>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</si>
  <si>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</si>
  <si>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</si>
  <si>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</si>
  <si>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</si>
  <si>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</si>
  <si>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</si>
  <si>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</si>
  <si>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</si>
  <si>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</si>
  <si>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</si>
  <si>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supérieur ou non à 4 fois le plafond , et aux limités évoquées ci-dessus (1,6 SMIC, 2,25 SMIC, 3,3 SMIC)</t>
  </si>
  <si>
    <t xml:space="preserve">Vous aurez donc automatiquement le </t>
  </si>
  <si>
    <t>Net à payer</t>
  </si>
  <si>
    <t xml:space="preserve">Net imposable </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</si>
  <si>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</si>
  <si>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</si>
  <si>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</si>
  <si>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</si>
  <si>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</si>
  <si>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</si>
  <si>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</si>
  <si>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rPr>
        <sz val="11"/>
        <color theme="1"/>
        <rFont val="Times New Roman"/>
        <family val="1"/>
        <charset val="1"/>
      </rPr>
      <t xml:space="preserve">calculs et que vous pourrez donc l'utiliser comme un </t>
    </r>
    <r>
      <rPr>
        <b/>
        <u/>
        <sz val="11"/>
        <color theme="1"/>
        <rFont val="Times New Roman"/>
        <family val="1"/>
        <charset val="1"/>
      </rPr>
      <t xml:space="preserve">outil d'apprentissage </t>
    </r>
    <r>
      <rPr>
        <sz val="11"/>
        <color theme="1"/>
        <rFont val="Times New Roman"/>
        <family val="1"/>
        <charset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</si>
  <si>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</si>
  <si>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</si>
  <si>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</si>
  <si>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</si>
  <si>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</si>
  <si>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</si>
  <si>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</si>
  <si>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Le livre Excel pour la Paie 2024 (Exercices corrigés sur la paie) vous donne des explications détaillées sur la façon de construire les différents tableaux de suivi et de construire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</si>
  <si>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</si>
  <si>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</si>
  <si>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</si>
  <si>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</si>
  <si>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</si>
  <si>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</si>
  <si>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</si>
  <si>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</si>
  <si>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</si>
  <si>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</si>
  <si>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</si>
  <si>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</si>
  <si>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</si>
  <si>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</si>
  <si>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</si>
  <si>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</si>
  <si>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</si>
  <si>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</si>
  <si>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</si>
  <si>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</si>
  <si>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</si>
  <si>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</si>
  <si>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</si>
  <si>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</si>
  <si>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</si>
  <si>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</si>
  <si>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21. Lorsqu'un salarié est en CDD court il a le droit à un abattement de 739  euros sur la base du PAS (chiffre 2025) </t>
  </si>
  <si>
    <t xml:space="preserve">Vous irez donc dans ce cas modifier la base du PAS (cellule DE89/90)  et retirer ce montant de cette base </t>
  </si>
  <si>
    <t xml:space="preserve">22. Lorsqu'un salarié est en arrêt maladie et que l'entreprise pratique la subrogation l'employeur doit déclarer dans la base du PAS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</si>
  <si>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</si>
  <si>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</si>
  <si>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</si>
  <si>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IJSS Brutes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</si>
  <si>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</si>
  <si>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</si>
  <si>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</si>
  <si>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</si>
  <si>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</si>
  <si>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</si>
  <si>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</si>
  <si>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</si>
  <si>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</si>
  <si>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</si>
  <si>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</si>
  <si>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</si>
  <si>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</si>
  <si>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</si>
  <si>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</si>
  <si>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</si>
  <si>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</si>
  <si>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</si>
  <si>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</si>
  <si>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</si>
  <si>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</si>
  <si>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Cf les exercices sépcifiques sur le dépassement des limites applicables aux TR dans le chapitre consacré à ce sujet </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</si>
  <si>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</si>
  <si>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</si>
  <si>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</si>
  <si>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</si>
  <si>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</si>
  <si>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</si>
  <si>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</si>
  <si>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Les modifications intervenues à compter du 01/05/2025 ( taux assurance chômage + AGS passé de 4,3 %  à 4,25%, modification des paramètres T pour  le calcul de la RGCP et montant de la déduction </t>
  </si>
  <si>
    <t xml:space="preserve">forfaitaire sur les heures supplémentaires ) sont prises en compte dans les formules de calcul tout en conservant les règles applicables avant cette date. </t>
  </si>
  <si>
    <t>En cas de CDD il faudra penser ajouter dans le tableau des Autres Contributions le CPF CDD au taux de 1% / Cf les bulletins de paie des CDD dans le chapitre dédié (Chapitre 19)</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</si>
  <si>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</si>
  <si>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</si>
  <si>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</si>
  <si>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</si>
  <si>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r>
      <rPr>
        <sz val="12"/>
        <color theme="1"/>
        <rFont val="Times New Roman"/>
        <family val="1"/>
        <charset val="1"/>
      </rPr>
      <t xml:space="preserve">soigneusement complété la feuille </t>
    </r>
    <r>
      <rPr>
        <b/>
        <sz val="12"/>
        <color theme="1"/>
        <rFont val="Times New Roman"/>
        <family val="1"/>
        <charset val="1"/>
      </rPr>
      <t xml:space="preserve">"Masque de Saisie" </t>
    </r>
    <r>
      <rPr>
        <sz val="12"/>
        <color theme="1"/>
        <rFont val="Times New Roman"/>
        <family val="1"/>
        <charset val="1"/>
      </rPr>
      <t xml:space="preserve">établir le bulletin de paie d'un salarié sur 1 mois isolé. </t>
    </r>
  </si>
  <si>
    <t xml:space="preserve">Vous disposez dans ce classeur des Feuilles suivantes : </t>
  </si>
  <si>
    <t>Table des Taux 2025</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</si>
  <si>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</si>
  <si>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</si>
  <si>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</si>
  <si>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</si>
  <si>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</si>
  <si>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</si>
  <si>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</si>
  <si>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</si>
  <si>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</si>
  <si>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</si>
  <si>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</si>
  <si>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Une feuille reliée au BP Format Janvier , l'autre au BP Format Juillet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</si>
  <si>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</si>
  <si>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</si>
  <si>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</si>
  <si>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</si>
  <si>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</si>
  <si>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</si>
  <si>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</si>
  <si>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</si>
  <si>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</si>
  <si>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</si>
  <si>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</si>
  <si>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</si>
  <si>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</si>
  <si>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</si>
  <si>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Annexe 1 </t>
  </si>
  <si>
    <t xml:space="preserve">Nom </t>
  </si>
  <si>
    <t>BDO</t>
  </si>
  <si>
    <t xml:space="preserve">Adresse </t>
  </si>
  <si>
    <t xml:space="preserve">29 Rue Clémenceau  22430 Erquy </t>
  </si>
  <si>
    <t xml:space="preserve">SIRET (14 chiffres) </t>
  </si>
  <si>
    <t xml:space="preserve">Code APE (4 chiffres et 1 lettre) </t>
  </si>
  <si>
    <t>6920Z</t>
  </si>
  <si>
    <t>Convention collective applicable ( nom de la convention et du code IDCC)</t>
  </si>
  <si>
    <t>Convention Collective du Personnel des cabinets d'experts-comptables et de commissaires aux comptes Code IDCC 0787</t>
  </si>
  <si>
    <t xml:space="preserve">Nombre de salariés dans l'entreprise </t>
  </si>
  <si>
    <t xml:space="preserve">Base </t>
  </si>
  <si>
    <t>PS</t>
  </si>
  <si>
    <t>PP</t>
  </si>
  <si>
    <t xml:space="preserve">Mutuelle   Non Cadres </t>
  </si>
  <si>
    <t>Prévoyance Complémentaire   Non Cadres</t>
  </si>
  <si>
    <t xml:space="preserve">Mutuelle Cadres </t>
  </si>
  <si>
    <t xml:space="preserve">Totalité </t>
  </si>
  <si>
    <t xml:space="preserve">Prévoyance Complémentaire  Cadres </t>
  </si>
  <si>
    <t>Retraite Supplémentaire Article 83</t>
  </si>
  <si>
    <t xml:space="preserve">Assurance décés des Cadres </t>
  </si>
  <si>
    <t xml:space="preserve">TA </t>
  </si>
  <si>
    <t>(1)</t>
  </si>
  <si>
    <t xml:space="preserve">Taux accident de travail </t>
  </si>
  <si>
    <t>Taux versement Mobilité</t>
  </si>
  <si>
    <t xml:space="preserve">Nom du salarié </t>
  </si>
  <si>
    <t xml:space="preserve">LE GARREC </t>
  </si>
  <si>
    <t xml:space="preserve">Prénom </t>
  </si>
  <si>
    <t xml:space="preserve">Yvon </t>
  </si>
  <si>
    <t xml:space="preserve">2 Avenue du Val Fleuri 22520 Binic </t>
  </si>
  <si>
    <t xml:space="preserve">Emploi </t>
  </si>
  <si>
    <t xml:space="preserve">Gestionnaire Paie </t>
  </si>
  <si>
    <t xml:space="preserve">Position dans la classification </t>
  </si>
  <si>
    <t xml:space="preserve">Numéro de SS </t>
  </si>
  <si>
    <t>1.96.02.297.820. 957</t>
  </si>
  <si>
    <t>Statut du salarié (NC / C )</t>
  </si>
  <si>
    <t>C</t>
  </si>
  <si>
    <t xml:space="preserve">Tapez le Code (1 pour Non Cadre - 2  pour Cadre) </t>
  </si>
  <si>
    <t xml:space="preserve">Forfait Jours  / Forfait heures </t>
  </si>
  <si>
    <t>MOIS</t>
  </si>
  <si>
    <t>Début Période de paie</t>
  </si>
  <si>
    <t xml:space="preserve">Fin de période de paie </t>
  </si>
  <si>
    <t xml:space="preserve">Date de paiement du salaire </t>
  </si>
  <si>
    <t xml:space="preserve">Salaire de base </t>
  </si>
  <si>
    <t xml:space="preserve">Nombre d'heures contractuelles </t>
  </si>
  <si>
    <t xml:space="preserve">SMIC Horaire applicable </t>
  </si>
  <si>
    <t xml:space="preserve">Plafond </t>
  </si>
  <si>
    <t xml:space="preserve">Nombre d'heures supplémentaires ou Complémentaires </t>
  </si>
  <si>
    <t xml:space="preserve">Nombre de TR </t>
  </si>
  <si>
    <t>PS des TR</t>
  </si>
  <si>
    <t xml:space="preserve">PP  des TR </t>
  </si>
  <si>
    <t xml:space="preserve">Forfait jours </t>
  </si>
  <si>
    <t>Forfait 218 jours</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</si>
  <si>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</si>
  <si>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</si>
  <si>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</si>
  <si>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</si>
  <si>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</si>
  <si>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</si>
  <si>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</si>
  <si>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</si>
  <si>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</si>
  <si>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</si>
  <si>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</si>
  <si>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</si>
  <si>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</si>
  <si>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</si>
  <si>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</si>
  <si>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Taux patronal</t>
  </si>
  <si>
    <t xml:space="preserve">Montant salarial </t>
  </si>
  <si>
    <t xml:space="preserve">Montant patronal </t>
  </si>
  <si>
    <t xml:space="preserve">Ligne 64 </t>
  </si>
  <si>
    <t xml:space="preserve">CSG  6,8 % sur Heures Supplémentaires  Non déductible </t>
  </si>
  <si>
    <t xml:space="preserve">Ligne 65 </t>
  </si>
  <si>
    <t xml:space="preserve">CSG  6,8 % sur Heures supplémentaires Déductible </t>
  </si>
  <si>
    <t>Ligne 66</t>
  </si>
  <si>
    <t>CSG / CRDS 2,9 %  (Non déductible) sur Heures Supplémentaires</t>
  </si>
  <si>
    <t xml:space="preserve">Réduction cotisations heures supplémentaires , complémentaires et autres </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</si>
  <si>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</si>
  <si>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</si>
  <si>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</si>
  <si>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</si>
  <si>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</si>
  <si>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</si>
  <si>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</si>
  <si>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</si>
  <si>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</si>
  <si>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</si>
  <si>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</si>
  <si>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</si>
  <si>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</si>
  <si>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</si>
  <si>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</si>
  <si>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</si>
  <si>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</si>
  <si>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</si>
  <si>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</si>
  <si>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</si>
  <si>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</si>
  <si>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</si>
  <si>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</si>
  <si>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</si>
  <si>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</si>
  <si>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Un salarié  Cadre dont l'entreprise est située dans les Côtes d'Armor se déplace à Paris pour suivre un séminaire  de  4 jours </t>
  </si>
  <si>
    <t>Lundi  20 Octobre</t>
  </si>
  <si>
    <t>Mardi 21</t>
  </si>
  <si>
    <t>Mercredi 22</t>
  </si>
  <si>
    <t>Jeudi 23</t>
  </si>
  <si>
    <t>Ses billets de train Paimpol - Paris AR lui ont été remboursés 49*2 = 98 euros  sur justificatifs</t>
  </si>
  <si>
    <t xml:space="preserve">Il a passé 3 nuits à l'hôtel , l'entreprise lui rembourse 100 euros par nuitée (prix de la réservation effectuée par le service RH), et ses repas au restaurant lui sont remboursés sur la </t>
  </si>
  <si>
    <t xml:space="preserve">base d'un forfait de 30 euros. </t>
  </si>
  <si>
    <t xml:space="preserve">Déterminez le montant des frais professionnels qui lui seront remboursés et les condtions dans lesquelles ils seront exonérés de cotisations. </t>
  </si>
  <si>
    <t xml:space="preserve">Etablissez son bulletin de paie d'Octobre en considérant que s'il a bien fourni les justificatifs de ses déplacments en train et des nuits passées à l'hôtel </t>
  </si>
  <si>
    <t xml:space="preserve">en revanche les justificatifs de ses notes de restaurant n'ont pas été produits. </t>
  </si>
  <si>
    <t>Les autres éléments nécessaires à l'établissement de son bulltin de paie d'Octobre sont pré-remplis dans le masque de saisie.</t>
  </si>
  <si>
    <r>
      <rPr>
        <sz val="12"/>
        <color theme="1"/>
        <rFont val="Times New Roman"/>
        <family val="1"/>
        <charset val="1"/>
      </rPr>
      <t xml:space="preserve">Si l'on utilise le remboursement sur la </t>
    </r>
    <r>
      <rPr>
        <b/>
        <u/>
        <sz val="12"/>
        <color theme="1"/>
        <rFont val="Times New Roman"/>
        <family val="1"/>
        <charset val="1"/>
      </rPr>
      <t>base des frais réels</t>
    </r>
    <r>
      <rPr>
        <sz val="12"/>
        <color theme="1"/>
        <rFont val="Times New Roman"/>
        <family val="1"/>
        <charset val="1"/>
      </rPr>
      <t xml:space="preserve"> il faut le faire sur présentation de justificatifs. </t>
    </r>
  </si>
  <si>
    <t xml:space="preserve">Dans l'exemple les billets de train AR sont remboursés pour </t>
  </si>
  <si>
    <t xml:space="preserve">euros </t>
  </si>
  <si>
    <r>
      <rPr>
        <sz val="12"/>
        <color theme="1"/>
        <rFont val="Times New Roman"/>
        <family val="1"/>
        <charset val="1"/>
      </rPr>
      <t xml:space="preserve">Et en supposant que les justificatifs ont  été fournis </t>
    </r>
    <r>
      <rPr>
        <b/>
        <sz val="12"/>
        <color theme="1"/>
        <rFont val="Times New Roman"/>
        <family val="1"/>
        <charset val="1"/>
      </rPr>
      <t>ces frais ne sont pas soumis à cotisations</t>
    </r>
    <r>
      <rPr>
        <sz val="12"/>
        <color theme="1"/>
        <rFont val="Times New Roman"/>
        <family val="1"/>
        <charset val="1"/>
      </rPr>
      <t xml:space="preserve">. </t>
    </r>
  </si>
  <si>
    <t xml:space="preserve">Les nuits d'hôtel et les repas pris sont remboursés sur la base d'indemnités forfaitaires </t>
  </si>
  <si>
    <t xml:space="preserve">Il y a 3 nuits d'hôtel remboursées 100 euros la nuit soit </t>
  </si>
  <si>
    <t xml:space="preserve">On compare ce montant à l'indemnité forfaitaire de </t>
  </si>
  <si>
    <t xml:space="preserve">grand déplacement en métropole qui pour une nuit à </t>
  </si>
  <si>
    <t xml:space="preserve">Grand déplacement de moins de 3 mois </t>
  </si>
  <si>
    <t xml:space="preserve">l'hôtel  à Paris est de 75,60  ce montant comprenant </t>
  </si>
  <si>
    <t>la chambre et le petit-déjeûner  soit pour 3 nuits</t>
  </si>
  <si>
    <t xml:space="preserve">différentiel </t>
  </si>
  <si>
    <t xml:space="preserve">Si le salarié ne fournit pas de justificatifs l'employeur sera tenu de soumettre à cotisations  la différence </t>
  </si>
  <si>
    <t xml:space="preserve">Concernant les repas </t>
  </si>
  <si>
    <t xml:space="preserve">Ce salarié a pris </t>
  </si>
  <si>
    <t xml:space="preserve">Lundi </t>
  </si>
  <si>
    <t>Mardi</t>
  </si>
  <si>
    <t xml:space="preserve">Mercredi </t>
  </si>
  <si>
    <t xml:space="preserve">Jeudi </t>
  </si>
  <si>
    <t xml:space="preserve">Ces 7 repas sont remboursés par l'entreprise sur la base de 30 euros par repas , l'indemnité forfaitaire étant de </t>
  </si>
  <si>
    <t xml:space="preserve">repas </t>
  </si>
  <si>
    <t>euros</t>
  </si>
  <si>
    <t>Si le salarié ne fournit pas les justificatifs l'entreprise devra soumettre à cotisations le différentiel. Si le salarié fournit des justificatifs cette différence ne sera pas soumise à cotisations</t>
  </si>
  <si>
    <t xml:space="preserve">Les remboursements de frais professionnels dans la limite de l'allocation forfaitaire sont exemps de cotisations et n'ont pas à être justifiés. </t>
  </si>
  <si>
    <t xml:space="preserve">Seule obligation pour l'employeur : </t>
  </si>
  <si>
    <t xml:space="preserve">jjustifier le déplacement </t>
  </si>
  <si>
    <t xml:space="preserve">          BULLETIN  DE  SALAIRE</t>
  </si>
  <si>
    <t>EMPLOYEUR</t>
  </si>
  <si>
    <t>SALARIE</t>
  </si>
  <si>
    <t>Nom :</t>
  </si>
  <si>
    <t>Adresse :</t>
  </si>
  <si>
    <t>Prénom :</t>
  </si>
  <si>
    <t>Emploi :</t>
  </si>
  <si>
    <t>N° SIRET</t>
  </si>
  <si>
    <t>Position :</t>
  </si>
  <si>
    <t>Code APE</t>
  </si>
  <si>
    <t>N° de S.S. :</t>
  </si>
  <si>
    <t>URSSAF</t>
  </si>
  <si>
    <t>Effectif</t>
  </si>
  <si>
    <t>Statut = C ou NC ou D</t>
  </si>
  <si>
    <t xml:space="preserve">SMICH </t>
  </si>
  <si>
    <t xml:space="preserve">  PERIODE DU  :</t>
  </si>
  <si>
    <t>Au :</t>
  </si>
  <si>
    <t xml:space="preserve">Payé le </t>
  </si>
  <si>
    <t xml:space="preserve"> Salaire de base</t>
  </si>
  <si>
    <t>à</t>
  </si>
  <si>
    <t xml:space="preserve">AN TR </t>
  </si>
  <si>
    <t xml:space="preserve">Prime d'ancienneté </t>
  </si>
  <si>
    <t xml:space="preserve">Prime de production </t>
  </si>
  <si>
    <t xml:space="preserve">Avantages en nature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</si>
  <si>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</si>
  <si>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</si>
  <si>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</si>
  <si>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</si>
  <si>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</si>
  <si>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à </t>
  </si>
  <si>
    <t>Absence Maladie du 20/03 au 31/03</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</si>
  <si>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</si>
  <si>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</si>
  <si>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</si>
  <si>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</si>
  <si>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</si>
  <si>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</si>
  <si>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</si>
  <si>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</si>
  <si>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 xml:space="preserve">Indemnité repas soumise à cotisations </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</si>
  <si>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</si>
  <si>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</si>
  <si>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</si>
  <si>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</si>
  <si>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</si>
  <si>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</si>
  <si>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</si>
  <si>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</si>
  <si>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</si>
  <si>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Sécurité Sociale Maladie Maternité Invalidité Décés 1.</t>
  </si>
  <si>
    <t xml:space="preserve">Sécurité sociale Maladie Maternité Invalidité Décés 2. </t>
  </si>
  <si>
    <t xml:space="preserve">Mutuelle Non Cadres </t>
  </si>
  <si>
    <t xml:space="preserve">Prévoyance Complémentaire Non Cadres </t>
  </si>
  <si>
    <t xml:space="preserve">Prévoyance Complémentaire Cadres </t>
  </si>
  <si>
    <t>Assurance décés des cadres  (TA)</t>
  </si>
  <si>
    <t xml:space="preserve">Retraite Supplémentaire Art 83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</si>
  <si>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</si>
  <si>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</si>
  <si>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</si>
  <si>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</si>
  <si>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</si>
  <si>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</si>
  <si>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</si>
  <si>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Allocations familiales Taux de base </t>
  </si>
  <si>
    <t xml:space="preserve">Allocations Famliales Taux Majoré </t>
  </si>
  <si>
    <t xml:space="preserve">ASSURANCE CHOMAGE </t>
  </si>
  <si>
    <t>Chômage ( TA+TB)</t>
  </si>
  <si>
    <t>APEC (TA+TB)</t>
  </si>
  <si>
    <t xml:space="preserve">AUTRES CONTRIBUTIONS DUES PAR L'EMPLOYEUR </t>
  </si>
  <si>
    <t xml:space="preserve">COTISATIONS STATUTAIRES OU PREVUES PAR LA CONVENTION COLLECTIVE  </t>
  </si>
  <si>
    <t xml:space="preserve">C.S.G  déductible de l'impôt sur le revenu </t>
  </si>
  <si>
    <t xml:space="preserve">C.S.G./ C.R.D.S non déductible de l'impôt sur le revenu </t>
  </si>
  <si>
    <t>EXONERATIONS, ECRETEMENTS ET ALLEGEMENTS DE COTISATIONS</t>
  </si>
  <si>
    <t xml:space="preserve">Total des Cotisations et Contributions </t>
  </si>
  <si>
    <t xml:space="preserve">Remboursement Train AR Paimpol - Paris </t>
  </si>
  <si>
    <t>Remboursement 3 Nuits Hôtel Paris</t>
  </si>
  <si>
    <t>Remboursement 7 repas Paris</t>
  </si>
  <si>
    <t xml:space="preserve">IJSS  Nettes </t>
  </si>
  <si>
    <t xml:space="preserve">NET A PAYER AVANT IMPOT SUR LE REVENU </t>
  </si>
  <si>
    <t xml:space="preserve">Dont évolution de la rémunération liée à la suppression des cotisations maladie et assurance chômage  </t>
  </si>
  <si>
    <t xml:space="preserve">Impöt sur le revenu </t>
  </si>
  <si>
    <t xml:space="preserve">Taux personnalisé / Taux non personnalisé </t>
  </si>
  <si>
    <t>Montant</t>
  </si>
  <si>
    <t xml:space="preserve">Total versé par l'employeur </t>
  </si>
  <si>
    <t xml:space="preserve">Allégement de cotisations employeur </t>
  </si>
  <si>
    <t xml:space="preserve">Net à payer au salarié </t>
  </si>
  <si>
    <t xml:space="preserve">Mois </t>
  </si>
  <si>
    <t xml:space="preserve">Cumuls </t>
  </si>
  <si>
    <t>Congés Payés N-1 / N</t>
  </si>
  <si>
    <t>Congés Payés N / N+1</t>
  </si>
  <si>
    <t xml:space="preserve">Prélèvement à la source </t>
  </si>
  <si>
    <t xml:space="preserve">Acquis </t>
  </si>
  <si>
    <t xml:space="preserve">Cumul mois précédent </t>
  </si>
  <si>
    <t>Heures Suppl. / Compl. défiscalisées</t>
  </si>
  <si>
    <t xml:space="preserve">Pris </t>
  </si>
  <si>
    <t xml:space="preserve">Acquis sur le mois </t>
  </si>
  <si>
    <t>Salaire brut</t>
  </si>
  <si>
    <t xml:space="preserve">Reste </t>
  </si>
  <si>
    <t>« Pour plus d’informations, voir la rubrique dédiée au bulletin de paye sur www.service-public.fr ».</t>
  </si>
  <si>
    <t xml:space="preserve">Pour faire valoir vos droits conservez ce bulletin de paie sans limitation de durée </t>
  </si>
  <si>
    <t xml:space="preserve">Autres contributions </t>
  </si>
  <si>
    <t xml:space="preserve">Mt Pat </t>
  </si>
  <si>
    <t xml:space="preserve">FNAL Base plafonnée </t>
  </si>
  <si>
    <t xml:space="preserve">FNAL Totalité </t>
  </si>
  <si>
    <t>Versement de  mobilité</t>
  </si>
  <si>
    <t>Contribution de solidarité pour l'autonomie</t>
  </si>
  <si>
    <t xml:space="preserve">Forfait social </t>
  </si>
  <si>
    <t xml:space="preserve">Forfait social sur Retraite Supplémentaire Art 83 </t>
  </si>
  <si>
    <t xml:space="preserve">Contribution dialogue social </t>
  </si>
  <si>
    <t>Taxe d'apprentissage</t>
  </si>
  <si>
    <t>Formation professionnelle</t>
  </si>
  <si>
    <t xml:space="preserve">Participation à l'effort de construction </t>
  </si>
  <si>
    <t>Suppression de la cotisation maladie applicable au 31/12/2017</t>
  </si>
  <si>
    <t>Montant de la part salariale de cotisation chômage supprimée</t>
  </si>
  <si>
    <t xml:space="preserve">Montant à reporter sur le Bulletin de paie </t>
  </si>
  <si>
    <t xml:space="preserve">GAIN / PERTE </t>
  </si>
  <si>
    <t xml:space="preserve">Augmentation de la CSG CRDS </t>
  </si>
  <si>
    <t xml:space="preserve">Cotisations et Contributions Sociales Obligatoires </t>
  </si>
  <si>
    <t>Sécurité sociale Maladie Maternité Invalidité Décés 1.</t>
  </si>
  <si>
    <t>Maintien de salaire TA</t>
  </si>
  <si>
    <t xml:space="preserve">Maintien de salaire TB </t>
  </si>
  <si>
    <t xml:space="preserve">Allocations Familiales Taux de Base </t>
  </si>
  <si>
    <t>Chômage</t>
  </si>
  <si>
    <t xml:space="preserve">CSG sur Heures Supplémentaires  Non déductible </t>
  </si>
  <si>
    <t xml:space="preserve">CSG sur Heures supplémentaires Déductible </t>
  </si>
  <si>
    <t>CSG / CRDS (Non déductible) sur Heures Supplémentaires</t>
  </si>
  <si>
    <t xml:space="preserve">EXONERATIONS ET ALLEGEMENTS DE COTISATIONS </t>
  </si>
  <si>
    <t xml:space="preserve">Cotisations et Contributions Sociales Facultatives </t>
  </si>
  <si>
    <t>Retraite Supplémentaire Art 83</t>
  </si>
  <si>
    <t xml:space="preserve">Montant Net Social </t>
  </si>
  <si>
    <t xml:space="preserve">Net Imposable </t>
  </si>
  <si>
    <t xml:space="preserve">Montant net des heures supplémentaires / Complémentaires/ RTT Exonérées </t>
  </si>
  <si>
    <t xml:space="preserve">Montant net des heures supplémentaires / Complémentaires/ RTT Non Exonérées </t>
  </si>
  <si>
    <t xml:space="preserve">Impöt sur le revenu Prélevé à la source </t>
  </si>
  <si>
    <t xml:space="preserve"> </t>
  </si>
  <si>
    <t>Net à payer au salarié (en euros)</t>
  </si>
  <si>
    <t>Allégements de Cotisations Employeur</t>
  </si>
  <si>
    <t>mesdroitssociaux.gouv.fr</t>
  </si>
  <si>
    <t>(2,4 -0,95)</t>
  </si>
  <si>
    <t xml:space="preserve">Attention : calculée sur la TA+TB </t>
  </si>
  <si>
    <t xml:space="preserve">A  compter du 1 er Octobre </t>
  </si>
  <si>
    <t>(2,4 )</t>
  </si>
  <si>
    <t xml:space="preserve">A </t>
  </si>
  <si>
    <t>B</t>
  </si>
  <si>
    <t>D</t>
  </si>
  <si>
    <t>E</t>
  </si>
  <si>
    <t>Tx Pat.</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</si>
  <si>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</si>
  <si>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</si>
  <si>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</si>
  <si>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</si>
  <si>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</si>
  <si>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</si>
  <si>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</si>
  <si>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</si>
  <si>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</si>
  <si>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</si>
  <si>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</si>
  <si>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JANVIER</t>
  </si>
  <si>
    <t>FEVRIER</t>
  </si>
  <si>
    <t>MARS</t>
  </si>
  <si>
    <t>AVRIL</t>
  </si>
  <si>
    <t>MAI</t>
  </si>
  <si>
    <t>JUIN</t>
  </si>
  <si>
    <t>JUILLET</t>
  </si>
  <si>
    <t>AOÛT</t>
  </si>
  <si>
    <t>SEPTEMBRE</t>
  </si>
  <si>
    <t>OCTOBRE</t>
  </si>
  <si>
    <t>NOVEMBRE</t>
  </si>
  <si>
    <t>DÉCEMBRE</t>
  </si>
  <si>
    <t xml:space="preserve">Tableau 2 </t>
  </si>
  <si>
    <t xml:space="preserve">Contribution d'Equilibre Technique CET T1 / CET T2 </t>
  </si>
  <si>
    <t xml:space="preserve">1. Détermination du taux de réduction de cotisations applicable aux heures supplémentairs ( Cellule E 68 du Bulletin de Paie)  </t>
  </si>
  <si>
    <t>Colonne 1</t>
  </si>
  <si>
    <t>Colonne 2</t>
  </si>
  <si>
    <t>Colonne 3</t>
  </si>
  <si>
    <t>Colonne 4</t>
  </si>
  <si>
    <t>Colonne 5</t>
  </si>
  <si>
    <t>Colonne 6</t>
  </si>
  <si>
    <t>Colonne 7</t>
  </si>
  <si>
    <t>Colonne 8</t>
  </si>
  <si>
    <t>Colonne 9</t>
  </si>
  <si>
    <t xml:space="preserve"> T1  CUMULEE </t>
  </si>
  <si>
    <t xml:space="preserve">T1 du MOIS </t>
  </si>
  <si>
    <t xml:space="preserve">MARTINO </t>
  </si>
  <si>
    <t>Taux</t>
  </si>
  <si>
    <t xml:space="preserve">Base du mois </t>
  </si>
  <si>
    <t xml:space="preserve">Montants  du mois </t>
  </si>
  <si>
    <t xml:space="preserve">TOTAL </t>
  </si>
  <si>
    <t xml:space="preserve">Rapport au salaire brut </t>
  </si>
  <si>
    <t xml:space="preserve">Tableau 2. </t>
  </si>
  <si>
    <t xml:space="preserve">Suivi Heures supplémentaires / Heures complémentaires </t>
  </si>
  <si>
    <t>A</t>
  </si>
  <si>
    <t>F</t>
  </si>
  <si>
    <t>G</t>
  </si>
  <si>
    <t xml:space="preserve">Montant Cumulé des heures supplémentaires en début de mois </t>
  </si>
  <si>
    <t xml:space="preserve">Montant des heures supp/ Compl du mois </t>
  </si>
  <si>
    <t xml:space="preserve">Montant Cumulé des Heures Supplémentaires n Fin de mois </t>
  </si>
  <si>
    <t xml:space="preserve">Heures Supplémentaires défiscalisées du mois </t>
  </si>
  <si>
    <t xml:space="preserve">Réduction  du mois </t>
  </si>
  <si>
    <t xml:space="preserve">Heures supplémentaires non défiscalisées du mois </t>
  </si>
  <si>
    <t>Février</t>
  </si>
  <si>
    <t>Mars</t>
  </si>
  <si>
    <t>Avril</t>
  </si>
  <si>
    <t>Mai</t>
  </si>
  <si>
    <t>Juin</t>
  </si>
  <si>
    <t>Juillet</t>
  </si>
  <si>
    <t>Août</t>
  </si>
  <si>
    <t>Septembre</t>
  </si>
  <si>
    <t>Octobre</t>
  </si>
  <si>
    <t>Novembre</t>
  </si>
  <si>
    <t>Décembre</t>
  </si>
  <si>
    <t xml:space="preserve">Mai </t>
  </si>
  <si>
    <t xml:space="preserve">Juillet </t>
  </si>
  <si>
    <t xml:space="preserve">Salaire brut hors Heures suppl / compl et hors AN </t>
  </si>
  <si>
    <t>Heures Suppl/ Compl non défiscalisées</t>
  </si>
  <si>
    <t>TOTAL 1</t>
  </si>
  <si>
    <t xml:space="preserve">Avantage  en nature TR </t>
  </si>
  <si>
    <t xml:space="preserve">Total des Avantages en nature du mois </t>
  </si>
  <si>
    <t>Heures Suppl / Compl</t>
  </si>
  <si>
    <t xml:space="preserve">CSG 6,8 % déductible hors Hsuppl / Compl  défiscalisées </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</si>
  <si>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</si>
  <si>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</si>
  <si>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</si>
  <si>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</si>
  <si>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</si>
  <si>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</si>
  <si>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Total PP Prévoyance complémentaire ( y compris retraite Supplémentaire Art 83)</t>
  </si>
  <si>
    <t xml:space="preserve">Heures supplémentaires ayant dépassé 8037  euros </t>
  </si>
  <si>
    <t xml:space="preserve">PP des TR à réintégrer  </t>
  </si>
  <si>
    <t>Mars MARTINO</t>
  </si>
  <si>
    <t xml:space="preserve">Heures supplémentaires cumulées </t>
  </si>
  <si>
    <t xml:space="preserve">Heures supplémentaires du mois </t>
  </si>
  <si>
    <t>Heures supplémentaires du mois Cumulées  au-dela de 8037</t>
  </si>
  <si>
    <t>Heures supplémentaires du mois  au-dela de 8037</t>
  </si>
  <si>
    <t xml:space="preserve">Janvier </t>
  </si>
  <si>
    <t xml:space="preserve">Février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</si>
  <si>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</si>
  <si>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</si>
  <si>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</si>
  <si>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</si>
  <si>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</si>
  <si>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</si>
  <si>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</si>
  <si>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</si>
  <si>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PMSS</t>
  </si>
  <si>
    <t xml:space="preserve">Cas du dépassement de la limite de 4*PMSS et Base CSG CRDS </t>
  </si>
  <si>
    <t xml:space="preserve">Limite </t>
  </si>
  <si>
    <t>Salaire de base hors HS</t>
  </si>
  <si>
    <t xml:space="preserve">Heures Suppl et Compl. </t>
  </si>
  <si>
    <t>Heures Suppl défiscalisées</t>
  </si>
  <si>
    <t xml:space="preserve">Prévoyance et mutuelle </t>
  </si>
  <si>
    <t>CSG  déductible Hors Heures Sup.</t>
  </si>
  <si>
    <t>CSG Non déductible Heures Suppl</t>
  </si>
  <si>
    <t xml:space="preserve">CSG déductible sur Heures Sup </t>
  </si>
  <si>
    <t>CSG / CRDS Non déductible hors heures Supp</t>
  </si>
  <si>
    <t>CSG CRDS Non Déductible sur Heures Sup</t>
  </si>
  <si>
    <t xml:space="preserve">Réduction de Cotisation sur heures Sup </t>
  </si>
  <si>
    <t xml:space="preserve">Déduction forfaitaire heures supplémentaires </t>
  </si>
  <si>
    <t>Ne pas modifier la cellule ci-contre</t>
  </si>
  <si>
    <t xml:space="preserve">Report dans la cellule G71  du BP </t>
  </si>
  <si>
    <t xml:space="preserve">Une fois vos bulletins de paie établis : Les Zones en Jaune doivent être renseignées par vos soins </t>
  </si>
  <si>
    <t xml:space="preserve">Rubriques des BP que l'on veut contrôler </t>
  </si>
  <si>
    <t xml:space="preserve">Reconstitution du Net à payer , du Net imposable etc à </t>
  </si>
  <si>
    <t>partir du BP de Jznvier 2023</t>
  </si>
  <si>
    <t xml:space="preserve">Net à payer </t>
  </si>
  <si>
    <t xml:space="preserve">Cellule J33 (Salaire brut) </t>
  </si>
  <si>
    <t xml:space="preserve">Cellule F73 (TOTAL DES COTISATIONS SALARIALES) </t>
  </si>
  <si>
    <t>Tickets Restaurant  PS</t>
  </si>
  <si>
    <t>Indemnité de transport</t>
  </si>
  <si>
    <t xml:space="preserve">Report depuis les 2 BP </t>
  </si>
  <si>
    <t xml:space="preserve">AVANTAGE EN NATURE </t>
  </si>
  <si>
    <t>Cellule F77 (IJSS NETTES)</t>
  </si>
  <si>
    <t>Cellule G38 (Mutuelle)</t>
  </si>
  <si>
    <t>Cellule G39 (Mutuelle )</t>
  </si>
  <si>
    <t xml:space="preserve">Cellule F67 (CSG CRDS Non déductible) </t>
  </si>
  <si>
    <t xml:space="preserve">Base de Calcul du PAS </t>
  </si>
  <si>
    <t xml:space="preserve">IJSS brutes </t>
  </si>
  <si>
    <t xml:space="preserve">- CSG 3,8 % déductible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</si>
  <si>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</si>
  <si>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</si>
  <si>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</si>
  <si>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</si>
  <si>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</si>
  <si>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</si>
  <si>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 xml:space="preserve"> + Prévoyance  hors frais de santé </t>
  </si>
  <si>
    <t>BP  Version Janvier 2023</t>
  </si>
  <si>
    <t>BP Format Juillet 2023</t>
  </si>
  <si>
    <t>Différence</t>
  </si>
  <si>
    <t xml:space="preserve">Base Forfait social </t>
  </si>
  <si>
    <t xml:space="preserve">Cotisations salariales </t>
  </si>
  <si>
    <t xml:space="preserve">Cotisations patronales </t>
  </si>
  <si>
    <t xml:space="preserve">Base CSG CRDS </t>
  </si>
  <si>
    <t xml:space="preserve">Exonérations de cotisations </t>
  </si>
  <si>
    <t xml:space="preserve">Allégements de cotisations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</si>
  <si>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</si>
  <si>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</si>
  <si>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Grille du taux neutre 2025 </t>
  </si>
  <si>
    <t xml:space="preserve">Cette feuille est paramètrée pour renvoyer dans la table ci-dessous les limites applicables avant Mai 2025 et à compter du 01/05/2025. Pour cela les limites en question sont "récupérées" dans les 2 </t>
  </si>
  <si>
    <t xml:space="preserve">feuilles TAUX NEUTRE JANVIER  et TAUX NEUTRE MAI classées en fin de classeur </t>
  </si>
  <si>
    <t xml:space="preserve">Format nombre de la date du 01/05/2025 </t>
  </si>
  <si>
    <t>Tranche inférieure</t>
  </si>
  <si>
    <t>Tranche Supérieure</t>
  </si>
  <si>
    <t xml:space="preserve">Taux </t>
  </si>
  <si>
    <t xml:space="preserve">( permet de faire un test sur la date du mois) </t>
  </si>
  <si>
    <t xml:space="preserve">Salarié X </t>
  </si>
  <si>
    <t xml:space="preserve">Base du PAS </t>
  </si>
  <si>
    <t xml:space="preserve">​ </t>
  </si>
  <si>
    <t>Libellé</t>
  </si>
  <si>
    <t>Cotisations 
salariales</t>
  </si>
  <si>
    <t>Cotisations 
patronales</t>
  </si>
  <si>
    <t xml:space="preserve">Cotisations et Contributions Obligatoires </t>
  </si>
  <si>
    <t xml:space="preserve">POLE SANTE </t>
  </si>
  <si>
    <t xml:space="preserve">FAMILLE </t>
  </si>
  <si>
    <t xml:space="preserve">ASSURANCE CHÔMAGE </t>
  </si>
  <si>
    <t>AGS (TA+TB)</t>
  </si>
  <si>
    <t>Contribution d'équilibre général  T1 (CEG T1)</t>
  </si>
  <si>
    <t>Contribution d'équilibre général  T2 (CEG T2)</t>
  </si>
  <si>
    <t>Contribution d'équilibre Technique  T1 (CET T1)</t>
  </si>
  <si>
    <t xml:space="preserve">Contribution d'équilibre Technique  T2 (CET T2) </t>
  </si>
  <si>
    <t xml:space="preserve">URSSAF FNAL Taux réduit  TA </t>
  </si>
  <si>
    <t xml:space="preserve">URSSAF FNAL Totalité </t>
  </si>
  <si>
    <t xml:space="preserve">Versement Mobilité </t>
  </si>
  <si>
    <t>Tx applicable  Paris et Petite couronne à pa</t>
  </si>
  <si>
    <t>Forfait social</t>
  </si>
  <si>
    <t xml:space="preserve">POLE RETRAITE </t>
  </si>
  <si>
    <t xml:space="preserve">Formation professionnelle </t>
  </si>
  <si>
    <t xml:space="preserve">AUTRES CONTRIBUTIONS </t>
  </si>
  <si>
    <t xml:space="preserve">Cotisations et Contributions Facultatives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</si>
  <si>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</si>
  <si>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</si>
  <si>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</si>
  <si>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</si>
  <si>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</si>
  <si>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</si>
  <si>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</si>
  <si>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</si>
  <si>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 xml:space="preserve">Calcul alternatif </t>
  </si>
  <si>
    <t>3,3 *SMICH*35*52/12 au 01/01/2025</t>
  </si>
  <si>
    <t>Coefficients Red Gen de  Cot.applicables le  01/01/2025 (Entreprises de moins de 50 sal / Entreprises de 50 ou + de 50 sal.)</t>
  </si>
  <si>
    <t>nb: en 2023 resp 0,3191 et 0,3231</t>
  </si>
  <si>
    <t xml:space="preserve">Déduction forfaitaire sur les Heures supplémentaires  moins de 20 salariés </t>
  </si>
  <si>
    <t xml:space="preserve">1,5 euro / Heure suppl </t>
  </si>
  <si>
    <t xml:space="preserve">DFHS entreprises de 20 à moins de 250 salariés </t>
  </si>
  <si>
    <t>0,5 euro / Heure Suppl</t>
  </si>
  <si>
    <t xml:space="preserve">Tickets restaurant Exonération maximale de la Part Patronale </t>
  </si>
  <si>
    <t xml:space="preserve">Pass Navigo RP </t>
  </si>
  <si>
    <t xml:space="preserve">Salaire Brut Inférieur au PMSS </t>
  </si>
  <si>
    <t>Salaire Brut supérieur au PMSS</t>
  </si>
  <si>
    <t xml:space="preserve">PS </t>
  </si>
  <si>
    <t>CEG T1</t>
  </si>
  <si>
    <t>CET T1</t>
  </si>
  <si>
    <t>Complémentaire T1  (sur le BP)</t>
  </si>
  <si>
    <t xml:space="preserve">CEG T2 </t>
  </si>
  <si>
    <t>CET T2</t>
  </si>
  <si>
    <t xml:space="preserve">Complémentaire T2 (sur le BP) </t>
  </si>
  <si>
    <r>
      <rPr>
        <sz val="11"/>
        <color theme="1"/>
        <rFont val="Times New Roman"/>
        <family val="1"/>
        <charset val="1"/>
      </rPr>
      <t xml:space="preserve">Taux </t>
    </r>
    <r>
      <rPr>
        <b/>
        <sz val="11"/>
        <color theme="1"/>
        <rFont val="Times New Roman"/>
        <family val="1"/>
        <charset val="1"/>
      </rPr>
      <t>2025</t>
    </r>
    <r>
      <rPr>
        <sz val="11"/>
        <color theme="1"/>
        <rFont val="Times New Roman"/>
        <family val="1"/>
        <charset val="1"/>
      </rPr>
      <t xml:space="preserve">  du Versement Mobilité en RP </t>
    </r>
  </si>
  <si>
    <t>Départements</t>
  </si>
  <si>
    <t>Taux du Versement Mobilité aiu 01/01/2024</t>
  </si>
  <si>
    <t>A compter du 01/02/2024</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</si>
  <si>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</si>
  <si>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</si>
  <si>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</si>
  <si>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</si>
  <si>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2,01 % / 1,6 % </t>
  </si>
  <si>
    <t xml:space="preserve">Consulter les taux applicables sur le site  de URSSAF à l'adresse suivante : </t>
  </si>
  <si>
    <r>
      <rPr>
        <sz val="11"/>
        <color theme="1"/>
        <rFont val="Times New Roman"/>
        <family val="1"/>
        <charset val="1"/>
      </rPr>
      <t xml:space="preserve">  </t>
    </r>
    <r>
      <rPr>
        <i/>
        <sz val="11"/>
        <color theme="1"/>
        <rFont val="Times New Roman"/>
        <family val="1"/>
        <charset val="1"/>
      </rPr>
      <t xml:space="preserve"> https://www.urssaf.fr/portail/home/taux-et-baremes/versement-mobilite.html</t>
    </r>
  </si>
  <si>
    <r>
      <rPr>
        <b/>
        <sz val="11"/>
        <color theme="1"/>
        <rFont val="Times New Roman"/>
        <family val="1"/>
        <charset val="1"/>
      </rPr>
      <t>EXEMPLE 1</t>
    </r>
    <r>
      <rPr>
        <sz val="11"/>
        <color theme="1"/>
        <rFont val="Times New Roman"/>
        <family val="1"/>
        <charset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</si>
  <si>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</si>
  <si>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</si>
  <si>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</si>
  <si>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</si>
  <si>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</si>
  <si>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</si>
  <si>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</si>
  <si>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</si>
  <si>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</si>
  <si>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rPr>
        <sz val="10"/>
        <color theme="1"/>
        <rFont val="Times New Roman"/>
        <family val="1"/>
        <charset val="1"/>
      </rPr>
      <t xml:space="preserve">Respect de la régle  sur la valeur  maximum du TR  : la valeur du TR pris en charge par l'employeur ne doit pas dépasser </t>
    </r>
    <r>
      <rPr>
        <b/>
        <sz val="10"/>
        <color theme="1"/>
        <rFont val="Times New Roman"/>
        <family val="1"/>
        <charset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</si>
  <si>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</si>
  <si>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</si>
  <si>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</si>
  <si>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</si>
  <si>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</si>
  <si>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</si>
  <si>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</si>
  <si>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</si>
  <si>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</si>
  <si>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</si>
  <si>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rPr>
        <sz val="12"/>
        <color theme="1"/>
        <rFont val="Times New Roman"/>
        <family val="1"/>
        <charset val="1"/>
      </rPr>
      <t>Respect de la régle  des 60 %  : la  Valeur du TR pris en charge par l'employeur - ici  ?</t>
    </r>
    <r>
      <rPr>
        <b/>
        <sz val="12"/>
        <color theme="1"/>
        <rFont val="Times New Roman"/>
        <family val="1"/>
        <charset val="1"/>
      </rPr>
      <t xml:space="preserve">  </t>
    </r>
    <r>
      <rPr>
        <sz val="12"/>
        <color theme="1"/>
        <rFont val="Times New Roman"/>
        <family val="1"/>
        <charset val="1"/>
      </rPr>
      <t xml:space="preserve">-  doit être &lt;  60 % * Valeur faciale du TR soit ici  ?  </t>
    </r>
  </si>
  <si>
    <t xml:space="preserve">Respect de la règle des 50 % : la valeur du TR prise en charge par l'employeur (ici ? ) doit au moins être égale à 50 %  de la valeur du TR (ici 50 %* ?  = ?) </t>
  </si>
  <si>
    <r>
      <rPr>
        <sz val="12"/>
        <color theme="1"/>
        <rFont val="Times New Roman"/>
        <family val="1"/>
        <charset val="1"/>
      </rPr>
      <t xml:space="preserve">Respect de la régle  sur la valeur  maximum du TR  : la valeur du TR pris en charge par l'employeur ne doit pas dépasser </t>
    </r>
    <r>
      <rPr>
        <b/>
        <sz val="12"/>
        <color theme="1"/>
        <rFont val="Times New Roman"/>
        <family val="1"/>
        <charset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</si>
  <si>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</si>
  <si>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</si>
  <si>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</si>
  <si>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H</t>
  </si>
  <si>
    <t>I</t>
  </si>
  <si>
    <t>J</t>
  </si>
  <si>
    <t>Coefficient E&lt; 50 sal.</t>
  </si>
  <si>
    <t>T</t>
  </si>
  <si>
    <t>Cofficient E&gt;=50 sal.</t>
  </si>
  <si>
    <t xml:space="preserve">Période de période (début du mois) </t>
  </si>
  <si>
    <t xml:space="preserve">Effectifs de l'entreprise </t>
  </si>
  <si>
    <t xml:space="preserve">Feuille reliée au BP Format Janvier </t>
  </si>
  <si>
    <t xml:space="preserve">Nombre d'heures "URSSAF" du mois </t>
  </si>
  <si>
    <t xml:space="preserve">Salaire brut du mois </t>
  </si>
  <si>
    <t>Paramètre de calcul ( Format nombre du 01/05/2025)</t>
  </si>
  <si>
    <t xml:space="preserve">Calcul de la Réduction Générale de Cotisations du Mois </t>
  </si>
  <si>
    <t xml:space="preserve">Nombre d'heures effectuées </t>
  </si>
  <si>
    <t>B = A / (salaire brut soumis à cotisations)</t>
  </si>
  <si>
    <t xml:space="preserve">C  = B -1 </t>
  </si>
  <si>
    <r>
      <rPr>
        <sz val="11"/>
        <color theme="1"/>
        <rFont val="Times New Roman"/>
        <family val="1"/>
        <charset val="1"/>
      </rPr>
      <t xml:space="preserve"> </t>
    </r>
    <r>
      <rPr>
        <b/>
        <sz val="11"/>
        <color theme="1"/>
        <rFont val="Times New Roman"/>
        <family val="1"/>
        <charset val="1"/>
      </rPr>
      <t xml:space="preserve">Coefficient </t>
    </r>
    <r>
      <rPr>
        <sz val="11"/>
        <color theme="1"/>
        <rFont val="Times New Roman"/>
        <family val="1"/>
        <charset val="1"/>
      </rPr>
      <t xml:space="preserve"> 
 D = C *T/0,6</t>
    </r>
  </si>
  <si>
    <t xml:space="preserve">Coefficient maximum </t>
  </si>
  <si>
    <t xml:space="preserve">Réduction Gén. De Cot.  = D * Salaire brut soumis à cotisations </t>
  </si>
  <si>
    <t xml:space="preserve">1,6 *SMICH * Nombre d'heures effectuées </t>
  </si>
  <si>
    <t xml:space="preserve">Début de paie du mois </t>
  </si>
  <si>
    <t xml:space="preserve">Feuille reliée au BP Format Juillet 2023 </t>
  </si>
  <si>
    <t xml:space="preserve">Coefficient  maximum </t>
  </si>
  <si>
    <t>Grille du taux neutre 2025</t>
  </si>
  <si>
    <t>Salarié Y</t>
  </si>
  <si>
    <t xml:space="preserve">Arrêt antérieur au 01/04/2025 </t>
  </si>
  <si>
    <t xml:space="preserve">Des généralités utiles sur l'arrêt maladie  </t>
  </si>
  <si>
    <t>https://culture-rh.com/ijss-maladie/</t>
  </si>
  <si>
    <t xml:space="preserve">Saisir les zones en jaune seulement </t>
  </si>
  <si>
    <t xml:space="preserve">Limites 1,8 SMIC / 1,4 SMIC </t>
  </si>
  <si>
    <t>Montant maximum de l'IJSS Maladie non professionnelle à compter du 01/04/2025</t>
  </si>
  <si>
    <t xml:space="preserve">Date de début de l'arrêt </t>
  </si>
  <si>
    <t xml:space="preserve">Date de fin de l'arrêt </t>
  </si>
  <si>
    <t xml:space="preserve">Montant maximum de l'IJSS Maladie pour les arrêts ayant débuté avant le  01/4/2025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</si>
  <si>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</si>
  <si>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</si>
  <si>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</si>
  <si>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</si>
  <si>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</si>
  <si>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</si>
  <si>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</si>
  <si>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</si>
  <si>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</si>
  <si>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</si>
  <si>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s'appliquant au 01/01/2025</t>
  </si>
  <si>
    <t>SMICH 202N-1</t>
  </si>
  <si>
    <t>SMICH s'appliquant au 31/12/2024</t>
  </si>
  <si>
    <t xml:space="preserve">H </t>
  </si>
  <si>
    <t xml:space="preserve">MATRICE DE  CALCUL    IJSS MALADIE   2025 (arrêt ayant débuté antérieurement au 01/04/2025) </t>
  </si>
  <si>
    <t>Col 1</t>
  </si>
  <si>
    <t>Col 2</t>
  </si>
  <si>
    <t>Col 3</t>
  </si>
  <si>
    <t>Col 4</t>
  </si>
  <si>
    <t xml:space="preserve">Col 5 </t>
  </si>
  <si>
    <t>Col 6</t>
  </si>
  <si>
    <t xml:space="preserve">ANNEE </t>
  </si>
  <si>
    <t xml:space="preserve">MOIS </t>
  </si>
  <si>
    <t xml:space="preserve">SALAIRES DE REFERENCE  BRUTS </t>
  </si>
  <si>
    <t>Limite de 1,8 SMIC ou 1,4 SMIC ( à compter du 01/04/2025)</t>
  </si>
  <si>
    <t xml:space="preserve">CALCUL IJSS MIN( Col 5;Col7) </t>
  </si>
  <si>
    <t>202N-1</t>
  </si>
  <si>
    <t>MOIS N-3</t>
  </si>
  <si>
    <t xml:space="preserve">DECEMBRE </t>
  </si>
  <si>
    <t>202N</t>
  </si>
  <si>
    <t>Mois 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</si>
  <si>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</si>
  <si>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</si>
  <si>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</si>
  <si>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</si>
  <si>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</si>
  <si>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</si>
  <si>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</si>
  <si>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</si>
  <si>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</si>
  <si>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</si>
  <si>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</si>
  <si>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</si>
  <si>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</si>
  <si>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</si>
  <si>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</si>
  <si>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</si>
  <si>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</si>
  <si>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</si>
  <si>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</si>
  <si>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</si>
  <si>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</si>
  <si>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</si>
  <si>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</si>
  <si>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</si>
  <si>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</si>
  <si>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</si>
  <si>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</si>
  <si>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</si>
  <si>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</si>
  <si>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</si>
  <si>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</si>
  <si>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</si>
  <si>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</si>
  <si>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</si>
  <si>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</si>
  <si>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rPr>
        <sz val="11"/>
        <color theme="1"/>
        <rFont val="Calibri"/>
        <family val="2"/>
        <charset val="1"/>
      </rPr>
      <t xml:space="preserve">LES ZONES EN </t>
    </r>
    <r>
      <rPr>
        <b/>
        <sz val="10"/>
        <rFont val="Arial"/>
        <family val="2"/>
        <charset val="1"/>
      </rPr>
      <t>JAUNE</t>
    </r>
    <r>
      <rPr>
        <sz val="11"/>
        <color theme="1"/>
        <rFont val="Calibri"/>
        <family val="2"/>
        <charset val="1"/>
      </rPr>
      <t xml:space="preserve"> SONT  LES</t>
    </r>
    <r>
      <rPr>
        <b/>
        <sz val="10"/>
        <rFont val="Arial"/>
        <family val="2"/>
        <charset val="1"/>
      </rPr>
      <t xml:space="preserve"> ZONES DE SAISIE</t>
    </r>
    <r>
      <rPr>
        <sz val="11"/>
        <color theme="1"/>
        <rFont val="Calibri"/>
        <family val="2"/>
        <charset val="1"/>
      </rPr>
      <t xml:space="preserve"> LES AUTRES ZONES SONT </t>
    </r>
    <r>
      <rPr>
        <b/>
        <sz val="10"/>
        <rFont val="Arial"/>
        <family val="2"/>
        <charset val="1"/>
      </rPr>
      <t xml:space="preserve"> </t>
    </r>
    <r>
      <rPr>
        <sz val="11"/>
        <color theme="1"/>
        <rFont val="Calibri"/>
        <family val="2"/>
        <charset val="1"/>
      </rPr>
      <t xml:space="preserve">LES ZONES DE </t>
    </r>
    <r>
      <rPr>
        <b/>
        <sz val="10"/>
        <rFont val="Arial"/>
        <family val="2"/>
        <charset val="1"/>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</si>
  <si>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</si>
  <si>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</si>
  <si>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</si>
  <si>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</si>
  <si>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</si>
  <si>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</si>
  <si>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</si>
  <si>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</si>
  <si>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</si>
  <si>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</si>
  <si>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</si>
  <si>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</si>
  <si>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</si>
  <si>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</si>
  <si>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</si>
  <si>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</si>
  <si>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</si>
  <si>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</si>
  <si>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</si>
  <si>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</si>
  <si>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</si>
  <si>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</si>
  <si>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</si>
  <si>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</si>
  <si>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</si>
  <si>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</si>
  <si>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</si>
  <si>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</si>
  <si>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</si>
  <si>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</si>
  <si>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</si>
  <si>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</si>
  <si>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</si>
  <si>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</si>
  <si>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</si>
  <si>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</si>
  <si>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</si>
  <si>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</si>
  <si>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</si>
  <si>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</si>
  <si>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</si>
  <si>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</si>
  <si>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</si>
  <si>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</si>
  <si>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</si>
  <si>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</si>
  <si>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</si>
  <si>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</si>
  <si>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</si>
  <si>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</si>
  <si>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</si>
  <si>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</si>
  <si>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</si>
  <si>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En l'absence de justificatifs cette somme sera également imposable  ( hypothèse retenue ici ) </t>
  </si>
  <si>
    <t xml:space="preserve">Les frais professionnels soumis à cotisations </t>
  </si>
  <si>
    <t xml:space="preserve">sont également imposables - par hypothèse le salarié </t>
  </si>
  <si>
    <t xml:space="preserve">n'ayant pas foruni les justificatifs de ses dépenses.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</si>
</sst>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164" formatCode="_-* #,##0.00_-;\-* #,##0.00_-;_-* \-??_-;_-@_-"/>
    <numFmt numFmtId="165" formatCode="0.00\ %"/>
    <numFmt numFmtId="166" formatCode="0\ %"/>
    <numFmt numFmtId="167" formatCode="0.00000"/>
    <numFmt numFmtId="168" formatCode="0.0000"/>
    <numFmt numFmtId="169" formatCode="_-* #,##0.00\ _€_-;\-* #,##0.00\ _€_-;_-* \-??\ _€_-;_-@_-"/>
    <numFmt numFmtId="170" formatCode="0.000%"/>
    <numFmt numFmtId="171" formatCode="0.000"/>
    <numFmt numFmtId="172" formatCode="0.0000%"/>
    <numFmt numFmtId="173" formatCode="#,##0.0000"/>
    <numFmt numFmtId="174" formatCode="_-* #,##0.0000\ _€_-;\-* #,##0.0000\ _€_-;_-* \-??\ _€_-;_-@_-"/>
    <numFmt numFmtId="175" formatCode="#,##0.000"/>
    <numFmt numFmtId="176" formatCode="\ #,##0.00&quot;    &quot;;\-#,##0.00&quot;    &quot;;&quot; -&quot;#&quot;    &quot;;@\ "/>
    <numFmt numFmtId="177" formatCode="\ #,##0.00&quot;    &quot;;\-#,##0.00&quot;    &quot;;&quot; -&quot;#&quot;    &quot;;\ @\ "/>
    <numFmt numFmtId="178" formatCode="\ #,##0&quot;    &quot;;\-#,##0&quot;    &quot;;&quot; -&quot;#&quot;    &quot;;@\ "/>
    <numFmt numFmtId="179" formatCode="#,##0.00_ ;\-#,##0.00\ "/>
    <numFmt numFmtId="180" formatCode="_-* #,##0.00000000\ _€_-;\-* #,##0.00000000\ _€_-;_-* \-????????\ _€_-;_-@_-"/>
    <numFmt numFmtId="181" formatCode="_-* #,##0.00000000\ _€_-;\-* #,##0.00000000\ _€_-;_-* \-??\ _€_-;_-@_-"/>
    <numFmt numFmtId="182" formatCode="_-* #,##0.00000\ _€_-;\-* #,##0.00000\ _€_-;_-* \-??\ _€_-;_-@_-"/>
    <numFmt numFmtId="183" formatCode="_-* #,##0.0000_-;\-* #,##0.0000_-;_-* \-??_-;_-@_-"/>
    <numFmt numFmtId="184" formatCode="_-* #,##0.0000\ _€_-;\-* #,##0.0000\ _€_-;_-* \-????\ _€_-;_-@_-"/>
    <numFmt numFmtId="185" formatCode="_(* #,##0.00_);_(* \(#,##0.00\);_(* \-??_);_(@_)"/>
    <numFmt numFmtId="186" formatCode="0.0%"/>
    <numFmt numFmtId="187" formatCode="0.0\ %"/>
  </numFmts>
  <fonts count="104" x14ac:knownFonts="1">
    <font>
      <sz val="11"/>
      <color theme="1"/>
      <name val="Calibri"/>
      <family val="2"/>
      <charset val="1"/>
    </font>
    <font>
      <sz val="10"/>
      <name val="MS Sans Serif"/>
      <family val="2"/>
      <charset val="1"/>
    </font>
    <font>
      <b/>
      <sz val="11"/>
      <color theme="1"/>
      <name val="Times New Roman"/>
      <family val="1"/>
      <charset val="1"/>
    </font>
    <font>
      <sz val="11"/>
      <color theme="1"/>
      <name val="Times New Roman"/>
      <family val="1"/>
      <charset val="1"/>
    </font>
    <font>
      <sz val="14"/>
      <color theme="1"/>
      <name val="Times New Roman"/>
      <family val="1"/>
      <charset val="1"/>
    </font>
    <font>
      <sz val="14"/>
      <color theme="1"/>
      <name val="Calibri"/>
      <family val="2"/>
      <charset val="1"/>
    </font>
    <font>
      <sz val="10"/>
      <color theme="1"/>
      <name val="Times New Roman"/>
      <family val="1"/>
      <charset val="1"/>
    </font>
    <font>
      <sz val="12"/>
      <color theme="1"/>
      <name val="Times New Roman"/>
      <family val="1"/>
      <charset val="1"/>
    </font>
    <font>
      <sz val="12"/>
      <color theme="1"/>
      <name val="Calibri"/>
      <family val="2"/>
      <charset val="1"/>
    </font>
    <font>
      <b/>
      <u/>
      <sz val="11"/>
      <color theme="1"/>
      <name val="Times New Roman"/>
      <family val="1"/>
      <charset val="1"/>
    </font>
    <font>
      <b/>
      <sz val="12"/>
      <color theme="1"/>
      <name val="Times New Roman"/>
      <family val="1"/>
      <charset val="1"/>
    </font>
    <font>
      <sz val="12"/>
      <color theme="1"/>
      <name val="Arial Narrow"/>
      <family val="2"/>
      <charset val="1"/>
    </font>
    <font>
      <b/>
      <u/>
      <sz val="12"/>
      <color theme="1"/>
      <name val="Arial Narrow"/>
      <family val="2"/>
      <charset val="1"/>
    </font>
    <font>
      <sz val="12"/>
      <name val="Arial Narrow"/>
      <family val="2"/>
      <charset val="1"/>
    </font>
    <font>
      <b/>
      <sz val="12"/>
      <color theme="1"/>
      <name val="Arial Narrow"/>
      <family val="2"/>
      <charset val="1"/>
    </font>
    <font>
      <sz val="14"/>
      <color theme="1"/>
      <name val="Arial Narrow"/>
      <family val="2"/>
      <charset val="1"/>
    </font>
    <font>
      <sz val="12"/>
      <color rgb="FF000000"/>
      <name val="Arial Narrow"/>
      <family val="2"/>
      <charset val="1"/>
    </font>
    <font>
      <b/>
      <sz val="12"/>
      <name val="Arial Narrow"/>
      <family val="2"/>
      <charset val="1"/>
    </font>
    <font>
      <u/>
      <sz val="12"/>
      <color theme="1"/>
      <name val="Arial Narrow"/>
      <family val="2"/>
      <charset val="1"/>
    </font>
    <font>
      <sz val="10"/>
      <name val="Arial"/>
      <family val="2"/>
    </font>
    <font>
      <b/>
      <sz val="9"/>
      <color rgb="FF000000"/>
      <name val="Tahoma"/>
      <family val="2"/>
      <charset val="1"/>
    </font>
    <font>
      <sz val="9"/>
      <color rgb="FF000000"/>
      <name val="Tahoma"/>
      <family val="2"/>
      <charset val="1"/>
    </font>
    <font>
      <i/>
      <sz val="12"/>
      <color theme="1"/>
      <name val="Times New Roman"/>
      <family val="1"/>
      <charset val="1"/>
    </font>
    <font>
      <b/>
      <u/>
      <sz val="12"/>
      <color theme="1"/>
      <name val="Times New Roman"/>
      <family val="1"/>
      <charset val="1"/>
    </font>
    <font>
      <b/>
      <sz val="14"/>
      <name val="Times New Roman"/>
      <family val="1"/>
      <charset val="1"/>
    </font>
    <font>
      <sz val="11"/>
      <color theme="1"/>
      <name val="Arial Narrow"/>
      <family val="2"/>
      <charset val="1"/>
    </font>
    <font>
      <i/>
      <sz val="12"/>
      <name val="Times New Roman"/>
      <family val="1"/>
      <charset val="1"/>
    </font>
    <font>
      <sz val="10"/>
      <name val="Times New Roman"/>
      <family val="1"/>
      <charset val="1"/>
    </font>
    <font>
      <sz val="8"/>
      <name val="Times New Roman"/>
      <family val="1"/>
      <charset val="1"/>
    </font>
    <font>
      <b/>
      <sz val="6"/>
      <name val="Times New Roman"/>
      <family val="1"/>
      <charset val="1"/>
    </font>
    <font>
      <sz val="9"/>
      <color theme="1"/>
      <name val="Times New Roman"/>
      <family val="1"/>
      <charset val="1"/>
    </font>
    <font>
      <sz val="10"/>
      <name val="Arial Narrow"/>
      <family val="2"/>
      <charset val="1"/>
    </font>
    <font>
      <i/>
      <sz val="10"/>
      <name val="Times New Roman"/>
      <family val="1"/>
      <charset val="1"/>
    </font>
    <font>
      <b/>
      <sz val="10"/>
      <name val="Times New Roman"/>
      <family val="1"/>
      <charset val="1"/>
    </font>
    <font>
      <b/>
      <sz val="9"/>
      <color rgb="FF000000"/>
      <name val="Arial Narrow"/>
      <family val="2"/>
      <charset val="1"/>
    </font>
    <font>
      <sz val="9"/>
      <color theme="1"/>
      <name val="Calibri"/>
      <family val="2"/>
      <charset val="1"/>
    </font>
    <font>
      <i/>
      <sz val="9"/>
      <name val="Times New Roman"/>
      <family val="1"/>
      <charset val="1"/>
    </font>
    <font>
      <sz val="9"/>
      <name val="Times New Roman"/>
      <family val="1"/>
      <charset val="1"/>
    </font>
    <font>
      <b/>
      <sz val="11"/>
      <color rgb="FF000000"/>
      <name val="Calibri"/>
      <family val="2"/>
      <charset val="1"/>
    </font>
    <font>
      <sz val="8"/>
      <name val="Arial Narrow"/>
      <family val="2"/>
      <charset val="1"/>
    </font>
    <font>
      <sz val="8"/>
      <color rgb="FF000000"/>
      <name val="Arial Narrow"/>
      <family val="2"/>
      <charset val="1"/>
    </font>
    <font>
      <i/>
      <sz val="10"/>
      <color theme="1"/>
      <name val="Times New Roman"/>
      <family val="1"/>
      <charset val="1"/>
    </font>
    <font>
      <sz val="10"/>
      <color theme="1"/>
      <name val="Arial Narrow"/>
      <family val="2"/>
      <charset val="1"/>
    </font>
    <font>
      <b/>
      <sz val="8"/>
      <name val="Arial Narrow"/>
      <family val="2"/>
      <charset val="1"/>
    </font>
    <font>
      <sz val="8"/>
      <color theme="8" tint="0.59987182226020086"/>
      <name val="Arial Narrow"/>
      <family val="2"/>
      <charset val="1"/>
    </font>
    <font>
      <sz val="10"/>
      <color rgb="FF000000"/>
      <name val="Arial Narrow"/>
      <family val="2"/>
      <charset val="1"/>
    </font>
    <font>
      <b/>
      <sz val="8"/>
      <name val="Calibri"/>
      <family val="2"/>
      <charset val="1"/>
    </font>
    <font>
      <sz val="8"/>
      <color theme="1"/>
      <name val="Arial Narrow"/>
      <family val="2"/>
      <charset val="1"/>
    </font>
    <font>
      <sz val="8"/>
      <name val="Calibri"/>
      <family val="2"/>
      <charset val="1"/>
    </font>
    <font>
      <sz val="9"/>
      <name val="Arial Narrow"/>
      <family val="2"/>
      <charset val="1"/>
    </font>
    <font>
      <sz val="9"/>
      <color rgb="FF000000"/>
      <name val="Calibri"/>
      <family val="2"/>
      <charset val="1"/>
    </font>
    <font>
      <i/>
      <sz val="8"/>
      <color theme="1"/>
      <name val="Arial Narrow"/>
      <family val="2"/>
      <charset val="1"/>
    </font>
    <font>
      <b/>
      <sz val="8"/>
      <color theme="1"/>
      <name val="Arial Narrow"/>
      <family val="2"/>
      <charset val="1"/>
    </font>
    <font>
      <b/>
      <sz val="8"/>
      <color theme="1"/>
      <name val="Times New Roman"/>
      <family val="1"/>
      <charset val="1"/>
    </font>
    <font>
      <sz val="8"/>
      <color theme="1"/>
      <name val="Times New Roman"/>
      <family val="1"/>
      <charset val="1"/>
    </font>
    <font>
      <b/>
      <sz val="7"/>
      <color theme="1"/>
      <name val="Times New Roman"/>
      <family val="1"/>
      <charset val="1"/>
    </font>
    <font>
      <sz val="9"/>
      <color rgb="FF000000"/>
      <name val="Arial Narrow"/>
      <family val="2"/>
      <charset val="1"/>
    </font>
    <font>
      <sz val="9"/>
      <color theme="1"/>
      <name val="Arial Narrow"/>
      <family val="2"/>
      <charset val="1"/>
    </font>
    <font>
      <b/>
      <sz val="9"/>
      <color theme="1"/>
      <name val="Arial Narrow"/>
      <family val="2"/>
      <charset val="1"/>
    </font>
    <font>
      <sz val="8"/>
      <color rgb="FF000000"/>
      <name val="Times New Roman"/>
      <family val="1"/>
      <charset val="1"/>
    </font>
    <font>
      <b/>
      <sz val="10"/>
      <color rgb="FF000000"/>
      <name val="Times New Roman"/>
      <family val="1"/>
      <charset val="1"/>
    </font>
    <font>
      <sz val="9"/>
      <color rgb="FF000000"/>
      <name val="Times New Roman"/>
      <family val="1"/>
      <charset val="1"/>
    </font>
    <font>
      <b/>
      <sz val="11"/>
      <color rgb="FF000000"/>
      <name val="Times New Roman"/>
      <family val="1"/>
      <charset val="1"/>
    </font>
    <font>
      <b/>
      <sz val="9"/>
      <name val="Times New Roman"/>
      <family val="1"/>
      <charset val="1"/>
    </font>
    <font>
      <sz val="9"/>
      <color theme="8" tint="0.59987182226020086"/>
      <name val="Times New Roman"/>
      <family val="1"/>
      <charset val="1"/>
    </font>
    <font>
      <b/>
      <sz val="11"/>
      <color rgb="FF000000"/>
      <name val="Arial Narrow"/>
      <family val="2"/>
      <charset val="1"/>
    </font>
    <font>
      <b/>
      <sz val="8"/>
      <name val="Times New Roman"/>
      <family val="1"/>
      <charset val="1"/>
    </font>
    <font>
      <b/>
      <sz val="9"/>
      <color rgb="FF000000"/>
      <name val="Times New Roman"/>
      <family val="1"/>
      <charset val="1"/>
    </font>
    <font>
      <b/>
      <sz val="9"/>
      <color theme="1"/>
      <name val="Times New Roman"/>
      <family val="1"/>
      <charset val="1"/>
    </font>
    <font>
      <sz val="11"/>
      <color rgb="FF000000"/>
      <name val="Times New Roman"/>
      <family val="1"/>
      <charset val="1"/>
    </font>
    <font>
      <sz val="12"/>
      <name val="Times New Roman"/>
      <family val="1"/>
      <charset val="1"/>
    </font>
    <font>
      <sz val="8"/>
      <color theme="1"/>
      <name val="Calibri"/>
      <family val="2"/>
      <charset val="1"/>
    </font>
    <font>
      <b/>
      <sz val="8"/>
      <color theme="1"/>
      <name val="Calibri"/>
      <family val="2"/>
      <charset val="1"/>
    </font>
    <font>
      <u/>
      <sz val="11"/>
      <color theme="1"/>
      <name val="Calibri"/>
      <family val="2"/>
      <charset val="1"/>
    </font>
    <font>
      <b/>
      <sz val="9"/>
      <color theme="1"/>
      <name val="Calibri"/>
      <family val="2"/>
      <charset val="1"/>
    </font>
    <font>
      <sz val="10"/>
      <color theme="1"/>
      <name val="Calibri"/>
      <family val="2"/>
      <charset val="1"/>
    </font>
    <font>
      <b/>
      <sz val="11"/>
      <color theme="1"/>
      <name val="Calibri"/>
      <family val="2"/>
      <charset val="1"/>
    </font>
    <font>
      <sz val="11"/>
      <color theme="0"/>
      <name val="Calibri"/>
      <family val="2"/>
      <charset val="1"/>
    </font>
    <font>
      <b/>
      <sz val="12"/>
      <color theme="0"/>
      <name val="Times New Roman"/>
      <family val="1"/>
      <charset val="1"/>
    </font>
    <font>
      <b/>
      <sz val="14"/>
      <name val="Calibri"/>
      <family val="2"/>
      <charset val="1"/>
    </font>
    <font>
      <i/>
      <sz val="8"/>
      <color theme="1"/>
      <name val="Times New Roman"/>
      <family val="1"/>
      <charset val="1"/>
    </font>
    <font>
      <sz val="9"/>
      <color rgb="FFFF0000"/>
      <name val="Times New Roman"/>
      <family val="1"/>
      <charset val="1"/>
    </font>
    <font>
      <b/>
      <sz val="9"/>
      <color rgb="FFFF0000"/>
      <name val="Times New Roman"/>
      <family val="1"/>
      <charset val="1"/>
    </font>
    <font>
      <sz val="11"/>
      <color rgb="FFFF0000"/>
      <name val="Times New Roman"/>
      <family val="1"/>
      <charset val="1"/>
    </font>
    <font>
      <i/>
      <sz val="11"/>
      <color theme="1"/>
      <name val="Times New Roman"/>
      <family val="1"/>
      <charset val="1"/>
    </font>
    <font>
      <b/>
      <sz val="10"/>
      <color theme="1"/>
      <name val="Times New Roman"/>
      <family val="1"/>
      <charset val="1"/>
    </font>
    <font>
      <sz val="12"/>
      <color theme="0"/>
      <name val="Times New Roman"/>
      <family val="1"/>
      <charset val="1"/>
    </font>
    <font>
      <sz val="11"/>
      <color theme="0"/>
      <name val="Times New Roman"/>
      <family val="1"/>
      <charset val="1"/>
    </font>
    <font>
      <b/>
      <sz val="14"/>
      <color theme="3"/>
      <name val="Times New Roman"/>
      <family val="1"/>
      <charset val="1"/>
    </font>
    <font>
      <b/>
      <sz val="10"/>
      <name val="Arial"/>
      <family val="2"/>
      <charset val="1"/>
    </font>
    <font>
      <sz val="11"/>
      <color rgb="FFFF0000"/>
      <name val="Calibri"/>
      <family val="2"/>
      <charset val="1"/>
    </font>
    <font>
      <b/>
      <sz val="12"/>
      <color theme="0"/>
      <name val="Calibri"/>
      <family val="2"/>
      <charset val="1"/>
    </font>
    <font>
      <sz val="10"/>
      <name val="Arial"/>
      <family val="2"/>
      <charset val="1"/>
    </font>
    <font>
      <sz val="10"/>
      <name val="Calibri"/>
      <family val="2"/>
      <charset val="1"/>
    </font>
    <font>
      <sz val="9"/>
      <name val="Calibri"/>
      <family val="2"/>
      <charset val="1"/>
    </font>
    <font>
      <sz val="11"/>
      <color theme="0"/>
      <name val="Arial"/>
      <family val="2"/>
      <charset val="1"/>
    </font>
    <font>
      <sz val="9"/>
      <name val="Arial"/>
      <family val="2"/>
      <charset val="1"/>
    </font>
    <font>
      <sz val="11"/>
      <name val="Arial"/>
      <family val="2"/>
      <charset val="1"/>
    </font>
    <font>
      <sz val="11"/>
      <name val="Calibri"/>
      <family val="2"/>
      <charset val="1"/>
    </font>
    <font>
      <sz val="11"/>
      <color theme="3"/>
      <name val="Calibri"/>
      <family val="2"/>
      <charset val="1"/>
    </font>
    <font>
      <b/>
      <sz val="12"/>
      <color theme="1"/>
      <name val="Calibri"/>
      <family val="2"/>
      <charset val="1"/>
    </font>
    <font>
      <b/>
      <sz val="12"/>
      <name val="Arial"/>
      <family val="2"/>
      <charset val="1"/>
    </font>
    <font>
      <b/>
      <sz val="12"/>
      <name val="Calibri"/>
      <family val="2"/>
      <charset val="1"/>
    </font>
    <font>
      <sz val="11"/>
      <color theme="1"/>
      <name val="Calibri"/>
      <family val="2"/>
      <charset val="1"/>
    </font>
  </fonts>
  <fills count="12">
    <fill>
      <patternFill patternType="none"/>
    </fill>
    <fill>
      <patternFill patternType="gray125"/>
    </fill>
    <fill>
      <patternFill patternType="solid">
        <fgColor rgb="FFFFFF00"/>
        <bgColor rgb="FFFFFF00"/>
      </patternFill>
    </fill>
    <fill>
      <patternFill patternType="solid">
        <fgColor theme="8" tint="0.59987182226020086"/>
        <bgColor rgb="FFC0C0C0"/>
      </patternFill>
    </fill>
    <fill>
      <patternFill patternType="solid">
        <fgColor rgb="FF00B0F0"/>
        <bgColor rgb="FF33CCCC"/>
      </patternFill>
    </fill>
    <fill>
      <patternFill patternType="solid">
        <fgColor theme="8" tint="0.79989013336588644"/>
        <bgColor rgb="FFCCFFFF"/>
      </patternFill>
    </fill>
    <fill>
      <patternFill patternType="solid">
        <fgColor theme="8" tint="0.39988402966399123"/>
        <bgColor rgb="FFC0C0C0"/>
      </patternFill>
    </fill>
    <fill>
      <patternFill patternType="solid">
        <fgColor rgb="FF92D050"/>
        <bgColor rgb="FFC0C0C0"/>
      </patternFill>
    </fill>
    <fill>
      <patternFill patternType="solid">
        <fgColor theme="5"/>
        <bgColor rgb="FFFF8080"/>
      </patternFill>
    </fill>
    <fill>
      <patternFill patternType="solid">
        <fgColor rgb="FF00B050"/>
        <bgColor rgb="FF008080"/>
      </patternFill>
    </fill>
    <fill>
      <patternFill patternType="solid">
        <fgColor theme="4"/>
        <bgColor rgb="FF44546A"/>
      </patternFill>
    </fill>
    <fill>
      <patternFill patternType="solid">
        <fgColor rgb="FFFFC000"/>
        <bgColor rgb="FFFF9900"/>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dashed">
        <color auto="1"/>
      </left>
      <right style="dashed">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dashed">
        <color auto="1"/>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hair">
        <color auto="1"/>
      </right>
      <top/>
      <bottom/>
      <diagonal/>
    </border>
    <border>
      <left style="thin">
        <color auto="1"/>
      </left>
      <right style="thin">
        <color auto="1"/>
      </right>
      <top/>
      <bottom/>
      <diagonal/>
    </border>
  </borders>
  <cellStyleXfs count="7">
    <xf numFmtId="0" fontId="0" fillId="0" borderId="0"/>
    <xf numFmtId="164" fontId="103" fillId="0" borderId="0" applyBorder="0" applyProtection="0"/>
    <xf numFmtId="166" fontId="103" fillId="0" borderId="0" applyBorder="0" applyProtection="0"/>
    <xf numFmtId="164" fontId="103" fillId="0" borderId="0" applyBorder="0" applyProtection="0"/>
    <xf numFmtId="164" fontId="103" fillId="0" borderId="0" applyBorder="0" applyProtection="0"/>
    <xf numFmtId="0" fontId="103" fillId="0" borderId="0"/>
    <xf numFmtId="0" fontId="1" fillId="0" borderId="0"/>
  </cellStyleXfs>
  <cellXfs count="803">
    <xf numFmtId="0" fontId="0" fillId="0" borderId="0" xfId="0"/>
    <xf numFmtId="0" fontId="11"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1" xfId="0" applyFont="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xf>
    <xf numFmtId="0" fontId="3" fillId="0" borderId="0" xfId="0" applyFont="1"/>
    <xf numFmtId="0" fontId="5" fillId="0" borderId="0" xfId="0" applyFont="1" applyAlignment="1">
      <alignment horizontal="center" vertical="center" wrapText="1"/>
    </xf>
    <xf numFmtId="0" fontId="6" fillId="0" borderId="0" xfId="0" applyFont="1"/>
    <xf numFmtId="0" fontId="7" fillId="0" borderId="0" xfId="0" applyFont="1"/>
    <xf numFmtId="0" fontId="8" fillId="0" borderId="0" xfId="0" applyFont="1"/>
    <xf numFmtId="0" fontId="0" fillId="0" borderId="2" xfId="0" applyBorder="1"/>
    <xf numFmtId="0" fontId="3" fillId="0" borderId="3" xfId="0" applyFont="1" applyBorder="1"/>
    <xf numFmtId="0" fontId="0" fillId="0" borderId="3" xfId="0" applyBorder="1"/>
    <xf numFmtId="0" fontId="0" fillId="0" borderId="4" xfId="0" applyBorder="1"/>
    <xf numFmtId="0" fontId="0" fillId="0" borderId="5" xfId="0" applyBorder="1"/>
    <xf numFmtId="0" fontId="0" fillId="0" borderId="6" xfId="0" applyBorder="1"/>
    <xf numFmtId="0" fontId="2" fillId="0" borderId="0" xfId="0" applyFont="1"/>
    <xf numFmtId="0" fontId="0" fillId="0" borderId="7" xfId="0" applyBorder="1"/>
    <xf numFmtId="0" fontId="0" fillId="0" borderId="8" xfId="0" applyBorder="1"/>
    <xf numFmtId="0" fontId="0" fillId="0" borderId="9" xfId="0" applyBorder="1"/>
    <xf numFmtId="0" fontId="6" fillId="2" borderId="0" xfId="0" applyFont="1" applyFill="1"/>
    <xf numFmtId="0" fontId="0" fillId="2" borderId="0" xfId="0" applyFill="1"/>
    <xf numFmtId="0" fontId="11" fillId="0" borderId="0" xfId="0" applyFont="1"/>
    <xf numFmtId="0" fontId="11" fillId="0" borderId="0" xfId="0" applyFont="1" applyAlignment="1">
      <alignment horizontal="center" vertical="center"/>
    </xf>
    <xf numFmtId="0" fontId="12" fillId="0" borderId="0" xfId="0" applyFont="1"/>
    <xf numFmtId="0" fontId="11" fillId="0" borderId="2" xfId="0" applyFont="1" applyBorder="1"/>
    <xf numFmtId="0" fontId="11" fillId="0" borderId="3" xfId="0" applyFont="1" applyBorder="1"/>
    <xf numFmtId="0" fontId="11" fillId="0" borderId="5" xfId="0" applyFont="1" applyBorder="1"/>
    <xf numFmtId="0" fontId="11" fillId="0" borderId="7" xfId="0" applyFont="1" applyBorder="1"/>
    <xf numFmtId="0" fontId="11" fillId="0" borderId="8" xfId="0" applyFont="1" applyBorder="1"/>
    <xf numFmtId="0" fontId="11" fillId="0" borderId="2" xfId="0" applyFont="1" applyBorder="1" applyAlignment="1">
      <alignment horizontal="center"/>
    </xf>
    <xf numFmtId="0" fontId="11" fillId="0" borderId="3" xfId="0" applyFont="1" applyBorder="1" applyAlignment="1">
      <alignment horizontal="center"/>
    </xf>
    <xf numFmtId="0" fontId="14" fillId="0" borderId="1" xfId="0" applyFont="1" applyBorder="1" applyAlignment="1">
      <alignment horizontal="center" vertical="center"/>
    </xf>
    <xf numFmtId="0" fontId="11" fillId="0" borderId="1" xfId="0" applyFont="1" applyBorder="1" applyAlignment="1">
      <alignment horizontal="center"/>
    </xf>
    <xf numFmtId="165" fontId="11" fillId="2" borderId="1" xfId="0" applyNumberFormat="1" applyFont="1" applyFill="1" applyBorder="1" applyAlignment="1">
      <alignment horizontal="center" vertical="center"/>
    </xf>
    <xf numFmtId="0" fontId="11" fillId="0" borderId="0" xfId="0" applyFont="1" applyAlignment="1">
      <alignment horizontal="center"/>
    </xf>
    <xf numFmtId="166" fontId="11" fillId="2" borderId="1" xfId="0" applyNumberFormat="1" applyFont="1" applyFill="1" applyBorder="1" applyAlignment="1">
      <alignment horizontal="center" vertical="center"/>
    </xf>
    <xf numFmtId="165" fontId="11" fillId="0" borderId="1" xfId="0" applyNumberFormat="1" applyFont="1" applyBorder="1" applyAlignment="1">
      <alignment horizontal="center" vertical="center"/>
    </xf>
    <xf numFmtId="165" fontId="11" fillId="0" borderId="0" xfId="0" applyNumberFormat="1" applyFont="1" applyAlignment="1">
      <alignment horizontal="center" vertical="center"/>
    </xf>
    <xf numFmtId="166" fontId="11" fillId="0" borderId="0" xfId="0" applyNumberFormat="1" applyFont="1" applyAlignment="1">
      <alignment horizontal="center"/>
    </xf>
    <xf numFmtId="0" fontId="11" fillId="0" borderId="4" xfId="0" applyFont="1" applyBorder="1"/>
    <xf numFmtId="0" fontId="14" fillId="0" borderId="1" xfId="0" applyFont="1" applyBorder="1" applyAlignment="1">
      <alignment horizontal="center"/>
    </xf>
    <xf numFmtId="0" fontId="11" fillId="0" borderId="6" xfId="0" applyFont="1" applyBorder="1"/>
    <xf numFmtId="0" fontId="11" fillId="2" borderId="1" xfId="0" applyFont="1" applyFill="1" applyBorder="1" applyAlignment="1">
      <alignment horizontal="center"/>
    </xf>
    <xf numFmtId="0" fontId="11" fillId="2" borderId="1" xfId="0" applyFont="1" applyFill="1" applyBorder="1"/>
    <xf numFmtId="0" fontId="11" fillId="2" borderId="1" xfId="0" applyFont="1" applyFill="1" applyBorder="1" applyAlignment="1">
      <alignment horizontal="center" vertical="center" wrapText="1"/>
    </xf>
    <xf numFmtId="0" fontId="11" fillId="0" borderId="9" xfId="0" applyFont="1" applyBorder="1"/>
    <xf numFmtId="14" fontId="7" fillId="2" borderId="1" xfId="0" applyNumberFormat="1" applyFont="1" applyFill="1" applyBorder="1" applyAlignment="1">
      <alignment horizontal="center" vertical="center" wrapText="1"/>
    </xf>
    <xf numFmtId="14" fontId="7" fillId="0" borderId="0" xfId="0" applyNumberFormat="1" applyFont="1" applyAlignment="1">
      <alignment horizontal="center" vertical="center" wrapText="1"/>
    </xf>
    <xf numFmtId="164" fontId="11" fillId="2" borderId="1" xfId="3" applyFont="1" applyFill="1" applyBorder="1" applyProtection="1"/>
    <xf numFmtId="164" fontId="7" fillId="0" borderId="0" xfId="3" applyFont="1" applyBorder="1" applyAlignment="1" applyProtection="1">
      <alignment horizontal="center" vertical="center" wrapText="1"/>
    </xf>
    <xf numFmtId="164" fontId="11" fillId="2" borderId="1" xfId="3" applyFont="1" applyFill="1" applyBorder="1" applyAlignment="1" applyProtection="1">
      <alignment horizontal="left"/>
    </xf>
    <xf numFmtId="164" fontId="7" fillId="0" borderId="0" xfId="3" applyFont="1" applyBorder="1" applyAlignment="1" applyProtection="1">
      <alignment horizontal="left" vertical="center" wrapText="1"/>
    </xf>
    <xf numFmtId="2" fontId="7" fillId="0" borderId="0" xfId="0" applyNumberFormat="1" applyFont="1" applyAlignment="1">
      <alignment horizontal="right" vertical="center" wrapText="1"/>
    </xf>
    <xf numFmtId="2" fontId="7" fillId="0" borderId="1" xfId="0" applyNumberFormat="1" applyFont="1" applyBorder="1" applyAlignment="1">
      <alignment horizontal="center" vertical="center" wrapText="1"/>
    </xf>
    <xf numFmtId="4" fontId="16" fillId="0" borderId="1" xfId="0" applyNumberFormat="1" applyFont="1" applyBorder="1" applyAlignment="1">
      <alignment horizontal="center" vertical="center"/>
    </xf>
    <xf numFmtId="165" fontId="16" fillId="0" borderId="1" xfId="2" applyNumberFormat="1" applyFont="1" applyBorder="1" applyAlignment="1" applyProtection="1">
      <alignment horizontal="center" vertical="center"/>
    </xf>
    <xf numFmtId="4" fontId="11" fillId="0" borderId="0" xfId="0" applyNumberFormat="1" applyFont="1"/>
    <xf numFmtId="0" fontId="17" fillId="0" borderId="0" xfId="0" applyFont="1" applyAlignment="1">
      <alignment horizontal="center" vertical="center" wrapText="1"/>
    </xf>
    <xf numFmtId="4" fontId="11" fillId="0" borderId="1" xfId="0" applyNumberFormat="1" applyFont="1" applyBorder="1" applyAlignment="1">
      <alignment horizontal="center" vertical="center"/>
    </xf>
    <xf numFmtId="167" fontId="16" fillId="0" borderId="1" xfId="0" applyNumberFormat="1" applyFont="1" applyBorder="1" applyAlignment="1">
      <alignment horizontal="center" vertical="center"/>
    </xf>
    <xf numFmtId="168" fontId="11" fillId="0" borderId="1" xfId="0" applyNumberFormat="1" applyFont="1" applyBorder="1" applyAlignment="1">
      <alignment horizontal="center" vertical="center"/>
    </xf>
    <xf numFmtId="168" fontId="16" fillId="0" borderId="1" xfId="0" applyNumberFormat="1" applyFont="1" applyBorder="1" applyAlignment="1">
      <alignment horizontal="center" vertical="center"/>
    </xf>
    <xf numFmtId="0" fontId="11" fillId="0" borderId="0" xfId="0" applyFont="1" applyAlignment="1">
      <alignment horizontal="center" vertical="center" wrapText="1"/>
    </xf>
    <xf numFmtId="0" fontId="13" fillId="0" borderId="0" xfId="0" applyFont="1" applyAlignment="1">
      <alignment horizontal="center" vertical="center" wrapText="1"/>
    </xf>
    <xf numFmtId="4" fontId="16" fillId="0" borderId="0" xfId="0" applyNumberFormat="1" applyFont="1" applyAlignment="1">
      <alignment horizontal="center" vertical="center"/>
    </xf>
    <xf numFmtId="167" fontId="16" fillId="0" borderId="0" xfId="0" applyNumberFormat="1" applyFont="1" applyAlignment="1">
      <alignment horizontal="center" vertical="center"/>
    </xf>
    <xf numFmtId="168" fontId="11" fillId="0" borderId="0" xfId="0" applyNumberFormat="1" applyFont="1" applyAlignment="1">
      <alignment horizontal="center" vertical="center"/>
    </xf>
    <xf numFmtId="168" fontId="16" fillId="0" borderId="0" xfId="0" applyNumberFormat="1" applyFont="1" applyAlignment="1">
      <alignment horizontal="center" vertical="center"/>
    </xf>
    <xf numFmtId="4" fontId="11" fillId="0" borderId="0" xfId="0" applyNumberFormat="1" applyFont="1" applyAlignment="1">
      <alignment horizontal="center" vertical="center"/>
    </xf>
    <xf numFmtId="0" fontId="18" fillId="0" borderId="0" xfId="0" applyFont="1"/>
    <xf numFmtId="0" fontId="11" fillId="0" borderId="0" xfId="0" applyFont="1" applyAlignment="1">
      <alignment horizontal="left"/>
    </xf>
    <xf numFmtId="0" fontId="10" fillId="0" borderId="0" xfId="0" applyFont="1"/>
    <xf numFmtId="0" fontId="22" fillId="0" borderId="0" xfId="0" applyFont="1"/>
    <xf numFmtId="0" fontId="7" fillId="0" borderId="0" xfId="0" applyFont="1" applyAlignment="1">
      <alignment horizontal="center"/>
    </xf>
    <xf numFmtId="164" fontId="7" fillId="0" borderId="0" xfId="1" applyFont="1" applyBorder="1" applyAlignment="1" applyProtection="1">
      <alignment horizontal="center"/>
    </xf>
    <xf numFmtId="169" fontId="7" fillId="0" borderId="0" xfId="0" applyNumberFormat="1" applyFont="1" applyAlignment="1">
      <alignment horizontal="center"/>
    </xf>
    <xf numFmtId="0" fontId="10" fillId="0" borderId="0" xfId="0" applyFont="1" applyAlignment="1">
      <alignment horizontal="center"/>
    </xf>
    <xf numFmtId="0" fontId="23" fillId="0" borderId="0" xfId="0" applyFont="1"/>
    <xf numFmtId="0" fontId="25" fillId="0" borderId="0" xfId="0" applyFont="1"/>
    <xf numFmtId="0" fontId="26" fillId="0" borderId="0" xfId="6" applyFont="1" applyAlignment="1">
      <alignment horizontal="right"/>
    </xf>
    <xf numFmtId="0" fontId="27" fillId="0" borderId="1" xfId="6" applyFont="1" applyBorder="1" applyAlignment="1">
      <alignment horizontal="left" vertical="center" wrapText="1"/>
    </xf>
    <xf numFmtId="0" fontId="27" fillId="0" borderId="0" xfId="6" applyFont="1" applyAlignment="1">
      <alignment horizontal="right"/>
    </xf>
    <xf numFmtId="0" fontId="27" fillId="0" borderId="1" xfId="6" applyFont="1" applyBorder="1" applyAlignment="1">
      <alignment horizontal="left"/>
    </xf>
    <xf numFmtId="0" fontId="27" fillId="0" borderId="1" xfId="6" applyFont="1" applyBorder="1" applyAlignment="1">
      <alignment horizontal="center"/>
    </xf>
    <xf numFmtId="3" fontId="27" fillId="0" borderId="0" xfId="6" applyNumberFormat="1" applyFont="1" applyAlignment="1">
      <alignment horizontal="right"/>
    </xf>
    <xf numFmtId="0" fontId="27" fillId="0" borderId="10" xfId="6" applyFont="1" applyBorder="1" applyAlignment="1">
      <alignment horizontal="left"/>
    </xf>
    <xf numFmtId="2" fontId="27" fillId="0" borderId="9" xfId="6" applyNumberFormat="1" applyFont="1" applyBorder="1" applyAlignment="1">
      <alignment horizontal="center" vertical="center" wrapText="1"/>
    </xf>
    <xf numFmtId="0" fontId="27" fillId="0" borderId="1" xfId="0" applyFont="1" applyBorder="1" applyAlignment="1">
      <alignment horizontal="center"/>
    </xf>
    <xf numFmtId="0" fontId="27" fillId="0" borderId="5" xfId="6" applyFont="1" applyBorder="1" applyAlignment="1">
      <alignment horizontal="center" vertical="center" wrapText="1"/>
    </xf>
    <xf numFmtId="169" fontId="27" fillId="0" borderId="12" xfId="6" applyNumberFormat="1" applyFont="1" applyBorder="1" applyAlignment="1">
      <alignment horizontal="center" vertical="center" wrapText="1"/>
    </xf>
    <xf numFmtId="2" fontId="27" fillId="0" borderId="1" xfId="6" applyNumberFormat="1" applyFont="1" applyBorder="1" applyAlignment="1">
      <alignment horizontal="center"/>
    </xf>
    <xf numFmtId="14" fontId="28" fillId="0" borderId="1" xfId="6" applyNumberFormat="1" applyFont="1" applyBorder="1" applyAlignment="1">
      <alignment horizontal="center"/>
    </xf>
    <xf numFmtId="0" fontId="29" fillId="0" borderId="1" xfId="6" applyFont="1" applyBorder="1" applyAlignment="1">
      <alignment horizontal="center"/>
    </xf>
    <xf numFmtId="0" fontId="27" fillId="0" borderId="1" xfId="6" applyFont="1" applyBorder="1" applyAlignment="1">
      <alignment horizontal="center" vertical="center" wrapText="1"/>
    </xf>
    <xf numFmtId="14" fontId="27" fillId="0" borderId="0" xfId="0" applyNumberFormat="1" applyFont="1" applyAlignment="1">
      <alignment horizontal="right"/>
    </xf>
    <xf numFmtId="14" fontId="30" fillId="0" borderId="1"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7" fillId="0" borderId="1" xfId="6" applyFont="1" applyBorder="1" applyAlignment="1">
      <alignment horizontal="right" vertical="center" wrapText="1"/>
    </xf>
    <xf numFmtId="169" fontId="27" fillId="0" borderId="1" xfId="6" applyNumberFormat="1" applyFont="1" applyBorder="1" applyAlignment="1">
      <alignment horizontal="center" vertical="center" wrapText="1"/>
    </xf>
    <xf numFmtId="2" fontId="27" fillId="0" borderId="1" xfId="6" applyNumberFormat="1" applyFont="1" applyBorder="1" applyAlignment="1">
      <alignment horizontal="center" vertical="center" wrapText="1"/>
    </xf>
    <xf numFmtId="4" fontId="27" fillId="0" borderId="1" xfId="6" applyNumberFormat="1" applyFont="1" applyBorder="1" applyAlignment="1">
      <alignment horizontal="center" vertical="center" wrapText="1"/>
    </xf>
    <xf numFmtId="0" fontId="32" fillId="0" borderId="1" xfId="6" applyFont="1" applyBorder="1" applyAlignment="1">
      <alignment horizontal="center" vertical="center" wrapText="1"/>
    </xf>
    <xf numFmtId="164" fontId="27" fillId="0" borderId="1" xfId="6" applyNumberFormat="1" applyFont="1" applyBorder="1" applyAlignment="1">
      <alignment horizontal="center" vertical="center" wrapText="1"/>
    </xf>
    <xf numFmtId="0" fontId="27" fillId="0" borderId="1" xfId="6" applyFont="1" applyBorder="1" applyAlignment="1">
      <alignment horizontal="right"/>
    </xf>
    <xf numFmtId="0" fontId="32" fillId="0" borderId="1" xfId="6" applyFont="1" applyBorder="1" applyAlignment="1">
      <alignment horizontal="center"/>
    </xf>
    <xf numFmtId="0" fontId="27" fillId="0" borderId="1" xfId="6" applyFont="1" applyBorder="1"/>
    <xf numFmtId="4" fontId="27" fillId="0" borderId="1" xfId="6" applyNumberFormat="1" applyFont="1" applyBorder="1"/>
    <xf numFmtId="4" fontId="27" fillId="0" borderId="10" xfId="6" applyNumberFormat="1" applyFont="1" applyBorder="1" applyAlignment="1">
      <alignment horizontal="center" vertical="center" wrapText="1"/>
    </xf>
    <xf numFmtId="4" fontId="33" fillId="0" borderId="1" xfId="0" applyNumberFormat="1" applyFont="1" applyBorder="1" applyAlignment="1">
      <alignment horizontal="right"/>
    </xf>
    <xf numFmtId="0" fontId="34" fillId="0" borderId="1" xfId="0" applyFont="1" applyBorder="1" applyAlignment="1">
      <alignment horizontal="center" vertical="center" wrapText="1"/>
    </xf>
    <xf numFmtId="168" fontId="34" fillId="0" borderId="13"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5" fillId="0" borderId="0" xfId="0" applyFont="1"/>
    <xf numFmtId="0" fontId="36" fillId="0" borderId="0" xfId="0" applyFont="1" applyAlignment="1">
      <alignment horizontal="center"/>
    </xf>
    <xf numFmtId="4" fontId="37" fillId="0" borderId="0" xfId="0" applyNumberFormat="1" applyFont="1" applyAlignment="1">
      <alignment horizontal="right"/>
    </xf>
    <xf numFmtId="0" fontId="0" fillId="0" borderId="1" xfId="0" applyBorder="1" applyAlignment="1">
      <alignment horizontal="right"/>
    </xf>
    <xf numFmtId="168" fontId="0" fillId="0" borderId="1" xfId="0" applyNumberFormat="1" applyBorder="1" applyAlignment="1">
      <alignment horizontal="right"/>
    </xf>
    <xf numFmtId="4" fontId="40" fillId="0" borderId="1" xfId="0" applyNumberFormat="1" applyFont="1" applyBorder="1" applyAlignment="1">
      <alignment horizontal="center" vertical="center"/>
    </xf>
    <xf numFmtId="165" fontId="40" fillId="0" borderId="1" xfId="2" applyNumberFormat="1" applyFont="1" applyBorder="1" applyAlignment="1" applyProtection="1">
      <alignment horizontal="center" vertical="center"/>
    </xf>
    <xf numFmtId="165" fontId="39" fillId="0" borderId="1" xfId="2" applyNumberFormat="1" applyFont="1" applyBorder="1" applyAlignment="1" applyProtection="1">
      <alignment horizontal="center" vertical="center"/>
    </xf>
    <xf numFmtId="0" fontId="41" fillId="0" borderId="0" xfId="0" applyFont="1"/>
    <xf numFmtId="4" fontId="0" fillId="0" borderId="0" xfId="0" applyNumberFormat="1"/>
    <xf numFmtId="0" fontId="39" fillId="0" borderId="0" xfId="0" applyFont="1" applyAlignment="1">
      <alignment horizontal="center" vertical="center" wrapText="1"/>
    </xf>
    <xf numFmtId="4" fontId="39" fillId="0" borderId="1" xfId="0" applyNumberFormat="1" applyFont="1" applyBorder="1" applyAlignment="1">
      <alignment horizontal="center" vertical="center"/>
    </xf>
    <xf numFmtId="0" fontId="42" fillId="0" borderId="0" xfId="0" applyFont="1"/>
    <xf numFmtId="0" fontId="25" fillId="0" borderId="0" xfId="0" applyFont="1" applyAlignment="1">
      <alignment horizontal="center"/>
    </xf>
    <xf numFmtId="0" fontId="0" fillId="0" borderId="1" xfId="0" applyBorder="1" applyAlignment="1">
      <alignment horizontal="center"/>
    </xf>
    <xf numFmtId="0" fontId="0" fillId="0" borderId="1" xfId="0" applyBorder="1"/>
    <xf numFmtId="4" fontId="40" fillId="0" borderId="1" xfId="0" applyNumberFormat="1" applyFont="1" applyBorder="1" applyAlignment="1">
      <alignment horizontal="center" vertical="center" wrapText="1"/>
    </xf>
    <xf numFmtId="0" fontId="0" fillId="0" borderId="0" xfId="0" applyAlignment="1">
      <alignment horizontal="center" vertical="center" wrapText="1"/>
    </xf>
    <xf numFmtId="4" fontId="44" fillId="0" borderId="1" xfId="0" applyNumberFormat="1" applyFont="1" applyBorder="1" applyAlignment="1">
      <alignment horizontal="center" vertical="center"/>
    </xf>
    <xf numFmtId="0" fontId="45" fillId="0" borderId="0" xfId="0" applyFont="1"/>
    <xf numFmtId="170" fontId="103" fillId="0" borderId="0" xfId="2" applyNumberFormat="1" applyBorder="1" applyProtection="1"/>
    <xf numFmtId="0" fontId="38" fillId="0" borderId="0" xfId="0" applyFont="1" applyAlignment="1">
      <alignment horizontal="left"/>
    </xf>
    <xf numFmtId="0" fontId="38" fillId="0" borderId="0" xfId="0" applyFont="1" applyAlignment="1">
      <alignment horizontal="center"/>
    </xf>
    <xf numFmtId="168" fontId="38" fillId="0" borderId="0" xfId="0" applyNumberFormat="1" applyFont="1" applyAlignment="1">
      <alignment horizontal="center"/>
    </xf>
    <xf numFmtId="4" fontId="47" fillId="0" borderId="1" xfId="0" applyNumberFormat="1" applyFont="1" applyBorder="1" applyAlignment="1">
      <alignment horizontal="center" vertical="center"/>
    </xf>
    <xf numFmtId="0" fontId="48" fillId="0" borderId="0" xfId="0" applyFont="1" applyAlignment="1">
      <alignment horizontal="left" vertical="center"/>
    </xf>
    <xf numFmtId="168" fontId="0" fillId="0" borderId="0" xfId="0" applyNumberFormat="1"/>
    <xf numFmtId="0" fontId="47" fillId="0" borderId="1" xfId="0" applyFont="1" applyBorder="1" applyAlignment="1">
      <alignment horizontal="center" vertical="center"/>
    </xf>
    <xf numFmtId="170" fontId="40" fillId="0" borderId="1" xfId="2" applyNumberFormat="1" applyFont="1" applyBorder="1" applyAlignment="1" applyProtection="1">
      <alignment horizontal="center" vertical="center"/>
    </xf>
    <xf numFmtId="170" fontId="39" fillId="0" borderId="1" xfId="2" applyNumberFormat="1" applyFont="1" applyBorder="1" applyAlignment="1" applyProtection="1">
      <alignment horizontal="center" vertical="center"/>
    </xf>
    <xf numFmtId="0" fontId="50" fillId="0" borderId="0" xfId="0" applyFont="1"/>
    <xf numFmtId="4" fontId="40" fillId="2" borderId="1" xfId="0" applyNumberFormat="1" applyFont="1" applyFill="1" applyBorder="1" applyAlignment="1">
      <alignment horizontal="center" vertical="center"/>
    </xf>
    <xf numFmtId="168" fontId="40" fillId="0" borderId="1" xfId="0" applyNumberFormat="1" applyFont="1" applyBorder="1" applyAlignment="1">
      <alignment horizontal="center" vertical="center"/>
    </xf>
    <xf numFmtId="4" fontId="42" fillId="0" borderId="0" xfId="0" applyNumberFormat="1" applyFont="1"/>
    <xf numFmtId="4" fontId="40" fillId="0" borderId="10" xfId="0" applyNumberFormat="1" applyFont="1" applyBorder="1" applyAlignment="1">
      <alignment horizontal="center" vertical="center"/>
    </xf>
    <xf numFmtId="0" fontId="47" fillId="0" borderId="10" xfId="0" applyFont="1" applyBorder="1" applyAlignment="1">
      <alignment horizontal="center" vertical="center"/>
    </xf>
    <xf numFmtId="4" fontId="0" fillId="0" borderId="0" xfId="0" applyNumberFormat="1" applyAlignment="1">
      <alignment horizontal="center"/>
    </xf>
    <xf numFmtId="171" fontId="0" fillId="0" borderId="0" xfId="0" applyNumberFormat="1" applyAlignment="1">
      <alignment horizontal="center"/>
    </xf>
    <xf numFmtId="0" fontId="52" fillId="0" borderId="13" xfId="0" applyFont="1" applyBorder="1" applyAlignment="1">
      <alignment horizontal="center" vertical="center" wrapText="1"/>
    </xf>
    <xf numFmtId="0" fontId="47" fillId="0" borderId="0" xfId="0" applyFont="1"/>
    <xf numFmtId="0" fontId="47" fillId="2" borderId="1" xfId="0" applyFont="1" applyFill="1" applyBorder="1" applyAlignment="1">
      <alignment horizontal="center"/>
    </xf>
    <xf numFmtId="0" fontId="3" fillId="0" borderId="0" xfId="0" applyFont="1" applyAlignment="1">
      <alignment horizontal="center" vertical="center" wrapText="1"/>
    </xf>
    <xf numFmtId="0" fontId="53" fillId="0" borderId="13" xfId="0" applyFont="1" applyBorder="1" applyAlignment="1">
      <alignment horizontal="center" vertical="center" wrapText="1"/>
    </xf>
    <xf numFmtId="0" fontId="53" fillId="0" borderId="0" xfId="0" applyFont="1" applyAlignment="1">
      <alignment horizontal="right"/>
    </xf>
    <xf numFmtId="4" fontId="54" fillId="0" borderId="0" xfId="0" applyNumberFormat="1" applyFont="1" applyAlignment="1">
      <alignment horizontal="center"/>
    </xf>
    <xf numFmtId="0" fontId="54" fillId="0" borderId="0" xfId="0" applyFont="1" applyAlignment="1">
      <alignment horizontal="center"/>
    </xf>
    <xf numFmtId="0" fontId="53" fillId="0" borderId="1" xfId="0" applyFont="1" applyBorder="1" applyAlignment="1">
      <alignment vertical="center"/>
    </xf>
    <xf numFmtId="0" fontId="54" fillId="0" borderId="1" xfId="0" applyFont="1" applyBorder="1" applyAlignment="1">
      <alignment horizontal="center" vertical="center" wrapText="1"/>
    </xf>
    <xf numFmtId="0" fontId="53" fillId="0" borderId="1" xfId="0" applyFont="1" applyBorder="1" applyAlignment="1">
      <alignment horizontal="left" vertical="center" wrapText="1"/>
    </xf>
    <xf numFmtId="0" fontId="53" fillId="0" borderId="0" xfId="0" applyFont="1" applyAlignment="1">
      <alignment horizontal="center" vertical="center" wrapText="1"/>
    </xf>
    <xf numFmtId="0" fontId="55" fillId="0" borderId="1" xfId="0" applyFont="1" applyBorder="1" applyAlignment="1">
      <alignment vertical="center" wrapText="1"/>
    </xf>
    <xf numFmtId="4" fontId="54" fillId="0" borderId="1" xfId="0" applyNumberFormat="1" applyFont="1" applyBorder="1" applyAlignment="1">
      <alignment horizontal="center" vertical="center" wrapText="1"/>
    </xf>
    <xf numFmtId="0" fontId="53" fillId="0" borderId="1" xfId="0" applyFont="1" applyBorder="1" applyAlignment="1">
      <alignment vertical="center" wrapText="1"/>
    </xf>
    <xf numFmtId="0" fontId="53" fillId="0" borderId="1" xfId="0" applyFont="1" applyBorder="1" applyAlignment="1">
      <alignment horizontal="right"/>
    </xf>
    <xf numFmtId="0" fontId="51" fillId="0" borderId="0" xfId="0" applyFont="1"/>
    <xf numFmtId="164" fontId="57" fillId="0" borderId="1" xfId="1" applyFont="1" applyBorder="1" applyProtection="1"/>
    <xf numFmtId="170" fontId="49" fillId="0" borderId="1" xfId="2" applyNumberFormat="1" applyFont="1" applyBorder="1" applyAlignment="1" applyProtection="1">
      <alignment horizontal="center" vertical="center"/>
    </xf>
    <xf numFmtId="164" fontId="58" fillId="0" borderId="1" xfId="1" applyFont="1" applyBorder="1" applyProtection="1"/>
    <xf numFmtId="165" fontId="25" fillId="0" borderId="1" xfId="0" applyNumberFormat="1" applyFont="1" applyBorder="1" applyAlignment="1">
      <alignment horizontal="center" vertical="center" wrapText="1"/>
    </xf>
    <xf numFmtId="2" fontId="25" fillId="0" borderId="1" xfId="0" applyNumberFormat="1" applyFont="1" applyBorder="1" applyAlignment="1">
      <alignment horizontal="center" vertical="center" wrapText="1"/>
    </xf>
    <xf numFmtId="0" fontId="57" fillId="0" borderId="1" xfId="0" applyFont="1" applyBorder="1" applyAlignment="1">
      <alignment horizontal="center" vertical="center" wrapText="1"/>
    </xf>
    <xf numFmtId="2" fontId="58" fillId="0" borderId="1" xfId="0" applyNumberFormat="1" applyFont="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right"/>
    </xf>
    <xf numFmtId="168" fontId="25" fillId="0" borderId="0" xfId="0" applyNumberFormat="1" applyFont="1" applyAlignment="1">
      <alignment horizontal="right"/>
    </xf>
    <xf numFmtId="4" fontId="33" fillId="0" borderId="1" xfId="6" applyNumberFormat="1" applyFont="1" applyBorder="1" applyAlignment="1">
      <alignment horizontal="center" vertical="center" wrapText="1"/>
    </xf>
    <xf numFmtId="0" fontId="61" fillId="0" borderId="1" xfId="0" applyFont="1" applyBorder="1" applyAlignment="1">
      <alignment horizontal="center" vertical="center" wrapText="1"/>
    </xf>
    <xf numFmtId="168" fontId="61" fillId="0" borderId="1" xfId="0" applyNumberFormat="1" applyFont="1" applyBorder="1" applyAlignment="1">
      <alignment horizontal="center" vertical="center" wrapText="1"/>
    </xf>
    <xf numFmtId="0" fontId="25" fillId="0" borderId="17" xfId="0" applyFont="1" applyBorder="1"/>
    <xf numFmtId="0" fontId="3" fillId="0" borderId="1" xfId="0" applyFont="1" applyBorder="1" applyAlignment="1">
      <alignment horizontal="center"/>
    </xf>
    <xf numFmtId="4" fontId="61" fillId="0" borderId="1" xfId="0" applyNumberFormat="1" applyFont="1" applyBorder="1" applyAlignment="1">
      <alignment horizontal="center" vertical="center"/>
    </xf>
    <xf numFmtId="165" fontId="61" fillId="0" borderId="1" xfId="2" applyNumberFormat="1" applyFont="1" applyBorder="1" applyAlignment="1" applyProtection="1">
      <alignment horizontal="center" vertical="center"/>
    </xf>
    <xf numFmtId="4" fontId="61" fillId="0" borderId="16" xfId="0" applyNumberFormat="1" applyFont="1" applyBorder="1" applyAlignment="1">
      <alignment horizontal="center" vertical="center"/>
    </xf>
    <xf numFmtId="4" fontId="25" fillId="0" borderId="0" xfId="0" applyNumberFormat="1" applyFont="1"/>
    <xf numFmtId="4" fontId="37" fillId="0" borderId="1" xfId="0" applyNumberFormat="1" applyFont="1" applyBorder="1" applyAlignment="1">
      <alignment horizontal="center" vertical="center"/>
    </xf>
    <xf numFmtId="0" fontId="3" fillId="0" borderId="15" xfId="0" applyFont="1" applyBorder="1" applyAlignment="1">
      <alignment horizontal="center"/>
    </xf>
    <xf numFmtId="0" fontId="30" fillId="0" borderId="1" xfId="0" applyFont="1" applyBorder="1" applyAlignment="1">
      <alignment horizontal="center" vertical="center"/>
    </xf>
    <xf numFmtId="2" fontId="30" fillId="0" borderId="1" xfId="0" applyNumberFormat="1" applyFont="1" applyBorder="1" applyAlignment="1">
      <alignment horizontal="center" vertical="center"/>
    </xf>
    <xf numFmtId="4" fontId="6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65" fontId="37" fillId="0" borderId="1" xfId="2" applyNumberFormat="1" applyFont="1" applyBorder="1" applyAlignment="1" applyProtection="1">
      <alignment horizontal="center" vertical="center"/>
    </xf>
    <xf numFmtId="0" fontId="56" fillId="0" borderId="0" xfId="0" applyFont="1"/>
    <xf numFmtId="165" fontId="25" fillId="0" borderId="0" xfId="0" applyNumberFormat="1" applyFont="1"/>
    <xf numFmtId="170" fontId="25" fillId="0" borderId="0" xfId="2" applyNumberFormat="1" applyFont="1" applyBorder="1" applyProtection="1"/>
    <xf numFmtId="0" fontId="65" fillId="0" borderId="0" xfId="0" applyFont="1" applyAlignment="1">
      <alignment horizontal="left"/>
    </xf>
    <xf numFmtId="0" fontId="65" fillId="0" borderId="0" xfId="0" applyFont="1" applyAlignment="1">
      <alignment horizontal="center"/>
    </xf>
    <xf numFmtId="168" fontId="65" fillId="0" borderId="0" xfId="0" applyNumberFormat="1" applyFont="1" applyAlignment="1">
      <alignment horizontal="center"/>
    </xf>
    <xf numFmtId="0" fontId="47" fillId="0" borderId="0" xfId="0" applyFont="1" applyAlignment="1">
      <alignment horizontal="center"/>
    </xf>
    <xf numFmtId="0" fontId="39" fillId="0" borderId="0" xfId="0" applyFont="1" applyAlignment="1">
      <alignment horizontal="left" vertical="center"/>
    </xf>
    <xf numFmtId="168" fontId="25" fillId="0" borderId="0" xfId="0" applyNumberFormat="1" applyFont="1"/>
    <xf numFmtId="165" fontId="30" fillId="0" borderId="1" xfId="2" applyNumberFormat="1" applyFont="1" applyBorder="1" applyAlignment="1" applyProtection="1">
      <alignment horizontal="center" vertical="center"/>
    </xf>
    <xf numFmtId="168" fontId="30" fillId="0" borderId="1" xfId="0" applyNumberFormat="1" applyFont="1" applyBorder="1" applyAlignment="1">
      <alignment horizontal="center" vertical="center"/>
    </xf>
    <xf numFmtId="0" fontId="56" fillId="0" borderId="0" xfId="0" applyFont="1" applyAlignment="1">
      <alignment horizontal="left"/>
    </xf>
    <xf numFmtId="165" fontId="37" fillId="0" borderId="16" xfId="2" applyNumberFormat="1" applyFont="1" applyBorder="1" applyAlignment="1" applyProtection="1">
      <alignment horizontal="center" vertical="center"/>
    </xf>
    <xf numFmtId="172" fontId="37" fillId="0" borderId="1" xfId="2" applyNumberFormat="1" applyFont="1" applyBorder="1" applyAlignment="1" applyProtection="1">
      <alignment horizontal="center" vertical="center"/>
    </xf>
    <xf numFmtId="0" fontId="30" fillId="0" borderId="10" xfId="0" applyFont="1" applyBorder="1" applyAlignment="1">
      <alignment horizontal="center" vertical="center"/>
    </xf>
    <xf numFmtId="168" fontId="30" fillId="0" borderId="10" xfId="0" applyNumberFormat="1" applyFont="1" applyBorder="1" applyAlignment="1">
      <alignment horizontal="center" vertical="center"/>
    </xf>
    <xf numFmtId="168" fontId="30" fillId="0" borderId="2" xfId="0" applyNumberFormat="1" applyFont="1" applyBorder="1" applyAlignment="1">
      <alignment horizontal="center" vertical="center"/>
    </xf>
    <xf numFmtId="4" fontId="61" fillId="0" borderId="13" xfId="0" applyNumberFormat="1" applyFont="1" applyBorder="1" applyAlignment="1">
      <alignment horizontal="center" vertical="center"/>
    </xf>
    <xf numFmtId="4" fontId="61" fillId="0" borderId="7" xfId="0" applyNumberFormat="1" applyFont="1" applyBorder="1" applyAlignment="1">
      <alignment horizontal="center" vertical="center"/>
    </xf>
    <xf numFmtId="164" fontId="30" fillId="0" borderId="1" xfId="1" applyFont="1" applyBorder="1" applyAlignment="1" applyProtection="1">
      <alignment horizontal="center" vertical="center"/>
    </xf>
    <xf numFmtId="167" fontId="61" fillId="0" borderId="1" xfId="0" applyNumberFormat="1" applyFont="1" applyBorder="1" applyAlignment="1">
      <alignment horizontal="center" vertical="center"/>
    </xf>
    <xf numFmtId="168" fontId="30" fillId="0" borderId="0" xfId="0" applyNumberFormat="1" applyFont="1" applyAlignment="1">
      <alignment horizontal="center" vertical="center"/>
    </xf>
    <xf numFmtId="4" fontId="30" fillId="0" borderId="1" xfId="0" applyNumberFormat="1" applyFont="1" applyBorder="1" applyAlignment="1">
      <alignment horizontal="center" vertical="center"/>
    </xf>
    <xf numFmtId="4" fontId="67" fillId="0" borderId="16" xfId="0" applyNumberFormat="1" applyFont="1" applyBorder="1" applyAlignment="1">
      <alignment horizontal="center" vertical="center"/>
    </xf>
    <xf numFmtId="4" fontId="67" fillId="0" borderId="1" xfId="0" applyNumberFormat="1" applyFont="1" applyBorder="1" applyAlignment="1">
      <alignment horizontal="center" vertical="center"/>
    </xf>
    <xf numFmtId="4" fontId="25" fillId="0" borderId="0" xfId="0" applyNumberFormat="1" applyFont="1" applyAlignment="1">
      <alignment horizontal="center"/>
    </xf>
    <xf numFmtId="171" fontId="25" fillId="0" borderId="0" xfId="0" applyNumberFormat="1" applyFont="1" applyAlignment="1">
      <alignment horizontal="center"/>
    </xf>
    <xf numFmtId="4" fontId="68" fillId="0" borderId="1" xfId="0" applyNumberFormat="1" applyFont="1" applyBorder="1" applyAlignment="1">
      <alignment horizontal="center" vertical="center"/>
    </xf>
    <xf numFmtId="0" fontId="25" fillId="0" borderId="1" xfId="0" applyFont="1" applyBorder="1" applyAlignment="1">
      <alignment horizontal="center" vertical="center"/>
    </xf>
    <xf numFmtId="168" fontId="25" fillId="0" borderId="1" xfId="0" applyNumberFormat="1" applyFont="1" applyBorder="1" applyAlignment="1">
      <alignment horizontal="center" vertical="center"/>
    </xf>
    <xf numFmtId="164" fontId="30" fillId="0" borderId="10" xfId="0" applyNumberFormat="1" applyFont="1" applyBorder="1" applyAlignment="1">
      <alignment horizontal="center" vertical="center"/>
    </xf>
    <xf numFmtId="0" fontId="25" fillId="0" borderId="10" xfId="0" applyFont="1" applyBorder="1" applyAlignment="1">
      <alignment horizontal="center" vertical="center"/>
    </xf>
    <xf numFmtId="4" fontId="57" fillId="0" borderId="1" xfId="0" applyNumberFormat="1" applyFont="1" applyBorder="1" applyAlignment="1">
      <alignment horizontal="center" vertical="center" wrapText="1"/>
    </xf>
    <xf numFmtId="4" fontId="57" fillId="0" borderId="0" xfId="0" applyNumberFormat="1" applyFont="1" applyAlignment="1">
      <alignment horizontal="center" vertical="center" wrapText="1"/>
    </xf>
    <xf numFmtId="0" fontId="57" fillId="0" borderId="0" xfId="0" applyFont="1" applyAlignment="1">
      <alignment horizontal="center" vertical="center" wrapText="1"/>
    </xf>
    <xf numFmtId="0" fontId="54" fillId="0" borderId="0" xfId="0" applyFont="1"/>
    <xf numFmtId="0" fontId="3" fillId="0" borderId="0" xfId="0" applyFont="1" applyAlignment="1">
      <alignment horizontal="center"/>
    </xf>
    <xf numFmtId="0" fontId="53" fillId="0" borderId="1" xfId="0" applyFont="1" applyBorder="1" applyAlignment="1">
      <alignment horizontal="center" vertical="center" wrapText="1"/>
    </xf>
    <xf numFmtId="4" fontId="54" fillId="0" borderId="1" xfId="0" applyNumberFormat="1" applyFont="1" applyBorder="1" applyAlignment="1">
      <alignment horizontal="center"/>
    </xf>
    <xf numFmtId="0" fontId="53" fillId="0" borderId="1" xfId="0" applyFont="1" applyBorder="1" applyAlignment="1">
      <alignment horizontal="left" vertical="center"/>
    </xf>
    <xf numFmtId="0" fontId="55" fillId="0" borderId="1" xfId="0" applyFont="1" applyBorder="1" applyAlignment="1">
      <alignment horizontal="left" vertical="center" wrapText="1"/>
    </xf>
    <xf numFmtId="0" fontId="56" fillId="0" borderId="5" xfId="0" applyFont="1" applyBorder="1" applyAlignment="1">
      <alignment horizontal="center" vertical="center" wrapText="1"/>
    </xf>
    <xf numFmtId="4" fontId="25" fillId="0" borderId="0" xfId="0" applyNumberFormat="1" applyFont="1" applyAlignment="1">
      <alignment horizontal="center" vertical="center" wrapText="1"/>
    </xf>
    <xf numFmtId="173" fontId="25" fillId="0" borderId="1" xfId="0" applyNumberFormat="1" applyFont="1" applyBorder="1" applyAlignment="1">
      <alignment horizontal="right"/>
    </xf>
    <xf numFmtId="168" fontId="25" fillId="0" borderId="1" xfId="0" applyNumberFormat="1" applyFont="1" applyBorder="1" applyAlignment="1">
      <alignment horizontal="right"/>
    </xf>
    <xf numFmtId="4" fontId="25" fillId="0" borderId="6" xfId="0" applyNumberFormat="1" applyFont="1" applyBorder="1" applyAlignment="1">
      <alignment horizontal="right"/>
    </xf>
    <xf numFmtId="174" fontId="25" fillId="0" borderId="1" xfId="1" applyNumberFormat="1" applyFont="1" applyBorder="1" applyAlignment="1" applyProtection="1">
      <alignment horizontal="right"/>
    </xf>
    <xf numFmtId="0" fontId="25" fillId="0" borderId="6" xfId="0" applyFont="1" applyBorder="1" applyAlignment="1">
      <alignment horizontal="right"/>
    </xf>
    <xf numFmtId="168" fontId="25" fillId="0" borderId="6" xfId="0" applyNumberFormat="1" applyFont="1" applyBorder="1" applyAlignment="1">
      <alignment horizontal="right"/>
    </xf>
    <xf numFmtId="168" fontId="25" fillId="0" borderId="0" xfId="0" applyNumberFormat="1" applyFont="1" applyAlignment="1">
      <alignment horizontal="center" vertical="center" wrapText="1"/>
    </xf>
    <xf numFmtId="0" fontId="56" fillId="0" borderId="7" xfId="0" applyFont="1" applyBorder="1" applyAlignment="1">
      <alignment horizontal="center" vertical="center" wrapText="1"/>
    </xf>
    <xf numFmtId="168" fontId="25" fillId="0" borderId="8" xfId="0" applyNumberFormat="1" applyFont="1" applyBorder="1" applyAlignment="1">
      <alignment horizontal="center" vertical="center" wrapText="1"/>
    </xf>
    <xf numFmtId="168" fontId="25" fillId="0" borderId="8" xfId="0" applyNumberFormat="1" applyFont="1" applyBorder="1" applyAlignment="1">
      <alignment horizontal="right"/>
    </xf>
    <xf numFmtId="168" fontId="25" fillId="0" borderId="9" xfId="0" applyNumberFormat="1" applyFont="1" applyBorder="1" applyAlignment="1">
      <alignment horizontal="right"/>
    </xf>
    <xf numFmtId="0" fontId="56" fillId="0" borderId="2" xfId="0" applyFont="1" applyBorder="1" applyAlignment="1">
      <alignment horizontal="center" vertical="center" wrapText="1"/>
    </xf>
    <xf numFmtId="168" fontId="25" fillId="0" borderId="3" xfId="0" applyNumberFormat="1" applyFont="1" applyBorder="1" applyAlignment="1">
      <alignment horizontal="center" vertical="center" wrapText="1"/>
    </xf>
    <xf numFmtId="168" fontId="25" fillId="0" borderId="3" xfId="0" applyNumberFormat="1" applyFont="1" applyBorder="1" applyAlignment="1">
      <alignment horizontal="right"/>
    </xf>
    <xf numFmtId="0" fontId="25" fillId="0" borderId="4" xfId="0" applyFont="1" applyBorder="1" applyAlignment="1">
      <alignment horizontal="right"/>
    </xf>
    <xf numFmtId="0" fontId="25" fillId="0" borderId="5" xfId="0" applyFont="1" applyBorder="1" applyAlignment="1">
      <alignment horizontal="center" vertical="center" wrapText="1"/>
    </xf>
    <xf numFmtId="0" fontId="40" fillId="0" borderId="0" xfId="0" applyFont="1" applyAlignment="1">
      <alignment horizontal="center" vertical="center" wrapText="1"/>
    </xf>
    <xf numFmtId="168" fontId="65" fillId="0" borderId="0" xfId="0" applyNumberFormat="1" applyFont="1" applyAlignment="1">
      <alignment horizontal="right"/>
    </xf>
    <xf numFmtId="175" fontId="65" fillId="0" borderId="6" xfId="0" applyNumberFormat="1" applyFont="1" applyBorder="1" applyAlignment="1">
      <alignment horizontal="right"/>
    </xf>
    <xf numFmtId="165" fontId="25" fillId="0" borderId="0" xfId="2" applyNumberFormat="1" applyFont="1" applyBorder="1" applyAlignment="1" applyProtection="1">
      <alignment horizontal="right"/>
    </xf>
    <xf numFmtId="168" fontId="25" fillId="0" borderId="15" xfId="0" applyNumberFormat="1" applyFont="1" applyBorder="1" applyAlignment="1">
      <alignment horizontal="right"/>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4" fontId="25" fillId="0" borderId="8" xfId="0" applyNumberFormat="1" applyFont="1" applyBorder="1" applyAlignment="1">
      <alignment horizontal="right"/>
    </xf>
    <xf numFmtId="0" fontId="25" fillId="0" borderId="9" xfId="0" applyFont="1" applyBorder="1" applyAlignment="1">
      <alignment horizontal="right"/>
    </xf>
    <xf numFmtId="0" fontId="3" fillId="0" borderId="1" xfId="0" applyFont="1" applyBorder="1" applyAlignment="1">
      <alignment horizontal="center" vertical="center" wrapText="1"/>
    </xf>
    <xf numFmtId="0" fontId="7" fillId="0" borderId="1" xfId="0" applyFont="1" applyBorder="1" applyAlignment="1">
      <alignment horizontal="center"/>
    </xf>
    <xf numFmtId="0" fontId="0" fillId="0" borderId="0" xfId="0" applyAlignment="1">
      <alignment horizontal="left"/>
    </xf>
    <xf numFmtId="0" fontId="25" fillId="0" borderId="0" xfId="0" applyFont="1" applyAlignment="1">
      <alignment horizontal="left"/>
    </xf>
    <xf numFmtId="169" fontId="54" fillId="2" borderId="1" xfId="0" applyNumberFormat="1" applyFont="1" applyFill="1" applyBorder="1" applyAlignment="1">
      <alignment horizontal="center" vertical="center" wrapText="1"/>
    </xf>
    <xf numFmtId="176" fontId="54" fillId="2" borderId="1" xfId="0" applyNumberFormat="1" applyFont="1" applyFill="1" applyBorder="1" applyAlignment="1">
      <alignment horizontal="center" vertical="center" wrapText="1"/>
    </xf>
    <xf numFmtId="176" fontId="54" fillId="0" borderId="1" xfId="0" applyNumberFormat="1" applyFont="1" applyBorder="1" applyAlignment="1">
      <alignment horizontal="center" vertical="center" wrapText="1"/>
    </xf>
    <xf numFmtId="169" fontId="3" fillId="2" borderId="1"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0" fontId="3" fillId="0" borderId="0" xfId="0" applyFont="1" applyAlignment="1">
      <alignment horizontal="center" wrapText="1"/>
    </xf>
    <xf numFmtId="0" fontId="3" fillId="0" borderId="12" xfId="0" applyFont="1" applyBorder="1" applyAlignment="1">
      <alignment horizontal="center" vertical="center" wrapText="1"/>
    </xf>
    <xf numFmtId="0" fontId="3" fillId="0" borderId="0" xfId="0" applyFont="1" applyAlignment="1">
      <alignment wrapText="1"/>
    </xf>
    <xf numFmtId="176" fontId="27" fillId="0" borderId="0" xfId="1" applyNumberFormat="1" applyFont="1" applyBorder="1" applyAlignment="1" applyProtection="1">
      <alignment horizontal="center" vertical="center" wrapText="1"/>
    </xf>
    <xf numFmtId="0" fontId="2" fillId="0" borderId="1" xfId="0" applyFont="1" applyBorder="1" applyAlignment="1">
      <alignment horizontal="center" vertical="center" wrapText="1"/>
    </xf>
    <xf numFmtId="0" fontId="54" fillId="0" borderId="18" xfId="0" applyFont="1" applyBorder="1" applyAlignment="1">
      <alignment horizontal="center" vertical="center" wrapText="1"/>
    </xf>
    <xf numFmtId="0" fontId="28" fillId="0" borderId="0" xfId="0" applyFont="1"/>
    <xf numFmtId="0" fontId="28" fillId="0" borderId="0" xfId="0" applyFont="1" applyAlignment="1">
      <alignment horizontal="center" vertical="center" wrapText="1"/>
    </xf>
    <xf numFmtId="176" fontId="28" fillId="0" borderId="1" xfId="1" applyNumberFormat="1" applyFont="1" applyBorder="1" applyAlignment="1" applyProtection="1">
      <alignment horizontal="left" vertical="center"/>
    </xf>
    <xf numFmtId="169" fontId="54" fillId="0" borderId="1" xfId="0" applyNumberFormat="1" applyFont="1" applyBorder="1" applyAlignment="1">
      <alignment horizontal="center" vertical="center" wrapText="1"/>
    </xf>
    <xf numFmtId="176" fontId="28" fillId="0" borderId="1" xfId="1" applyNumberFormat="1" applyFont="1" applyBorder="1" applyAlignment="1" applyProtection="1">
      <alignment horizontal="center" vertical="center" wrapText="1"/>
    </xf>
    <xf numFmtId="177" fontId="69" fillId="0" borderId="0" xfId="1" applyNumberFormat="1" applyFont="1" applyBorder="1" applyProtection="1"/>
    <xf numFmtId="176" fontId="28" fillId="2" borderId="1" xfId="1" applyNumberFormat="1" applyFont="1" applyFill="1" applyBorder="1" applyAlignment="1" applyProtection="1">
      <alignment horizontal="center" vertical="center" wrapText="1"/>
    </xf>
    <xf numFmtId="0" fontId="70" fillId="0" borderId="0" xfId="0" applyFont="1" applyAlignment="1">
      <alignment horizontal="center" vertical="center" wrapText="1"/>
    </xf>
    <xf numFmtId="176" fontId="28" fillId="0" borderId="0" xfId="1" applyNumberFormat="1" applyFont="1" applyBorder="1" applyAlignment="1" applyProtection="1">
      <alignment horizontal="left" vertical="center"/>
    </xf>
    <xf numFmtId="169" fontId="3" fillId="0" borderId="10" xfId="0" applyNumberFormat="1" applyFont="1" applyBorder="1" applyAlignment="1">
      <alignment horizontal="center" vertical="center" wrapText="1"/>
    </xf>
    <xf numFmtId="176" fontId="27" fillId="0" borderId="10" xfId="1" applyNumberFormat="1" applyFont="1" applyBorder="1" applyAlignment="1" applyProtection="1">
      <alignment horizontal="center" vertical="center" wrapText="1"/>
    </xf>
    <xf numFmtId="169" fontId="3" fillId="0" borderId="0" xfId="0" applyNumberFormat="1" applyFont="1" applyAlignment="1">
      <alignment horizontal="center" vertical="center" wrapText="1"/>
    </xf>
    <xf numFmtId="178" fontId="28" fillId="0" borderId="6" xfId="1" applyNumberFormat="1" applyFont="1" applyBorder="1" applyAlignment="1" applyProtection="1">
      <alignment horizontal="center" vertical="center"/>
    </xf>
    <xf numFmtId="176" fontId="27" fillId="0" borderId="3" xfId="1" applyNumberFormat="1" applyFont="1" applyBorder="1" applyAlignment="1" applyProtection="1">
      <alignment horizontal="center" vertical="center" wrapText="1"/>
    </xf>
    <xf numFmtId="164" fontId="59" fillId="0" borderId="1" xfId="1" applyFont="1" applyBorder="1" applyAlignment="1" applyProtection="1">
      <alignment horizontal="center" vertical="center" wrapText="1"/>
    </xf>
    <xf numFmtId="164" fontId="59" fillId="0" borderId="0" xfId="1" applyFont="1" applyBorder="1" applyAlignment="1" applyProtection="1">
      <alignment horizontal="center" vertical="center" wrapText="1"/>
    </xf>
    <xf numFmtId="164" fontId="59" fillId="0" borderId="15" xfId="1" applyFont="1" applyBorder="1" applyAlignment="1" applyProtection="1">
      <alignment horizontal="center" vertical="center" wrapText="1"/>
    </xf>
    <xf numFmtId="165" fontId="59" fillId="0" borderId="1" xfId="1" applyNumberFormat="1" applyFont="1" applyBorder="1" applyAlignment="1" applyProtection="1">
      <alignment horizontal="center" vertical="center" wrapText="1"/>
    </xf>
    <xf numFmtId="4" fontId="59" fillId="0" borderId="1" xfId="0" applyNumberFormat="1" applyFont="1" applyBorder="1" applyAlignment="1">
      <alignment horizontal="center" vertical="center" wrapText="1"/>
    </xf>
    <xf numFmtId="176" fontId="71" fillId="0" borderId="1" xfId="0" applyNumberFormat="1" applyFont="1" applyBorder="1" applyAlignment="1">
      <alignment horizontal="center" vertical="center" wrapText="1"/>
    </xf>
    <xf numFmtId="4" fontId="59" fillId="0" borderId="0" xfId="0" applyNumberFormat="1" applyFont="1" applyAlignment="1">
      <alignment horizontal="center" vertical="center" wrapText="1"/>
    </xf>
    <xf numFmtId="176" fontId="71" fillId="0" borderId="0" xfId="0" applyNumberFormat="1" applyFont="1" applyAlignment="1">
      <alignment horizontal="center" vertical="center" wrapText="1"/>
    </xf>
    <xf numFmtId="176" fontId="71" fillId="0" borderId="15" xfId="0" applyNumberFormat="1" applyFont="1" applyBorder="1" applyAlignment="1">
      <alignment horizontal="center" vertical="center" wrapText="1"/>
    </xf>
    <xf numFmtId="176" fontId="71" fillId="0" borderId="1" xfId="0" applyNumberFormat="1" applyFont="1" applyBorder="1"/>
    <xf numFmtId="0" fontId="71" fillId="0" borderId="1" xfId="0" applyFont="1" applyBorder="1"/>
    <xf numFmtId="169" fontId="71" fillId="0" borderId="1" xfId="0" applyNumberFormat="1" applyFont="1" applyBorder="1"/>
    <xf numFmtId="164" fontId="59" fillId="0" borderId="1" xfId="1" applyFont="1" applyBorder="1" applyAlignment="1" applyProtection="1">
      <alignment vertical="center" wrapText="1"/>
    </xf>
    <xf numFmtId="170" fontId="71" fillId="0" borderId="1" xfId="2" applyNumberFormat="1" applyFont="1" applyBorder="1" applyAlignment="1" applyProtection="1">
      <alignment vertical="center" wrapText="1"/>
    </xf>
    <xf numFmtId="164" fontId="71" fillId="0" borderId="1" xfId="1" applyFont="1" applyBorder="1" applyAlignment="1" applyProtection="1">
      <alignment horizontal="center" vertical="center" wrapText="1"/>
    </xf>
    <xf numFmtId="4" fontId="71" fillId="0" borderId="0" xfId="0" applyNumberFormat="1" applyFont="1" applyAlignment="1">
      <alignment horizontal="center" vertical="center" wrapText="1"/>
    </xf>
    <xf numFmtId="179" fontId="71" fillId="0" borderId="1" xfId="0" applyNumberFormat="1" applyFont="1" applyBorder="1"/>
    <xf numFmtId="0" fontId="35" fillId="0" borderId="1" xfId="0" applyFont="1" applyBorder="1" applyAlignment="1">
      <alignment horizontal="center"/>
    </xf>
    <xf numFmtId="164" fontId="35" fillId="0" borderId="0" xfId="1" applyFont="1" applyBorder="1" applyAlignment="1" applyProtection="1">
      <alignment horizontal="center"/>
    </xf>
    <xf numFmtId="4" fontId="72" fillId="0" borderId="1" xfId="0" applyNumberFormat="1" applyFont="1" applyBorder="1" applyAlignment="1">
      <alignment horizontal="center" vertical="center" wrapText="1"/>
    </xf>
    <xf numFmtId="4" fontId="72" fillId="0" borderId="0" xfId="0" applyNumberFormat="1" applyFont="1" applyAlignment="1">
      <alignment horizontal="center" vertical="center" wrapText="1"/>
    </xf>
    <xf numFmtId="164" fontId="35" fillId="0" borderId="15" xfId="1" applyFont="1" applyBorder="1" applyProtection="1"/>
    <xf numFmtId="164" fontId="35" fillId="0" borderId="1" xfId="1" applyFont="1" applyBorder="1" applyProtection="1"/>
    <xf numFmtId="0" fontId="0" fillId="0" borderId="8" xfId="0" applyBorder="1" applyAlignment="1">
      <alignment horizontal="center"/>
    </xf>
    <xf numFmtId="179" fontId="0" fillId="0" borderId="8" xfId="0" applyNumberFormat="1" applyBorder="1"/>
    <xf numFmtId="165" fontId="7" fillId="0" borderId="1" xfId="2" applyNumberFormat="1" applyFont="1" applyBorder="1" applyAlignment="1" applyProtection="1">
      <alignment horizontal="center" vertical="center"/>
    </xf>
    <xf numFmtId="179" fontId="0" fillId="0" borderId="0" xfId="0" applyNumberFormat="1"/>
    <xf numFmtId="169" fontId="0" fillId="0" borderId="0" xfId="0" applyNumberFormat="1"/>
    <xf numFmtId="0" fontId="73" fillId="0" borderId="0" xfId="0" applyFont="1" applyAlignment="1">
      <alignment horizontal="center" vertical="center" wrapText="1"/>
    </xf>
    <xf numFmtId="0" fontId="0" fillId="0" borderId="10" xfId="0" applyBorder="1" applyAlignment="1">
      <alignment horizontal="center" vertical="center" wrapText="1"/>
    </xf>
    <xf numFmtId="0" fontId="74" fillId="0" borderId="0" xfId="0" applyFont="1" applyAlignment="1">
      <alignment horizontal="center" vertical="center" wrapText="1"/>
    </xf>
    <xf numFmtId="180" fontId="0" fillId="0" borderId="0" xfId="0" applyNumberFormat="1"/>
    <xf numFmtId="0" fontId="71" fillId="0" borderId="10" xfId="0" applyFont="1" applyBorder="1" applyAlignment="1">
      <alignment horizontal="center" vertical="center" wrapText="1"/>
    </xf>
    <xf numFmtId="0" fontId="71" fillId="0" borderId="18" xfId="0" applyFont="1" applyBorder="1" applyAlignment="1">
      <alignment horizontal="center" vertical="center" wrapText="1"/>
    </xf>
    <xf numFmtId="0" fontId="71" fillId="0" borderId="13" xfId="0" applyFont="1" applyBorder="1" applyAlignment="1">
      <alignment horizontal="center" vertical="center" wrapText="1"/>
    </xf>
    <xf numFmtId="0" fontId="71" fillId="0" borderId="1" xfId="0" applyFont="1" applyBorder="1" applyAlignment="1">
      <alignment horizontal="center" vertical="center" wrapText="1"/>
    </xf>
    <xf numFmtId="0" fontId="71" fillId="0" borderId="0" xfId="0" applyFont="1" applyAlignment="1">
      <alignment horizontal="center" vertical="center" wrapText="1"/>
    </xf>
    <xf numFmtId="0" fontId="71" fillId="0" borderId="0" xfId="0" applyFont="1"/>
    <xf numFmtId="164" fontId="75" fillId="0" borderId="1" xfId="1" applyFont="1" applyBorder="1" applyAlignment="1" applyProtection="1">
      <alignment horizontal="center" vertical="center" wrapText="1"/>
    </xf>
    <xf numFmtId="4" fontId="75" fillId="2" borderId="1" xfId="0" applyNumberFormat="1" applyFont="1" applyFill="1" applyBorder="1" applyAlignment="1">
      <alignment horizontal="center" vertical="center" wrapText="1"/>
    </xf>
    <xf numFmtId="4" fontId="75" fillId="0" borderId="1" xfId="0" applyNumberFormat="1" applyFont="1" applyBorder="1" applyAlignment="1">
      <alignment horizontal="center" vertical="center" wrapText="1"/>
    </xf>
    <xf numFmtId="181" fontId="75" fillId="0" borderId="1" xfId="1" applyNumberFormat="1" applyFont="1" applyBorder="1" applyAlignment="1" applyProtection="1">
      <alignment horizontal="center" vertical="center" wrapText="1"/>
    </xf>
    <xf numFmtId="4" fontId="6" fillId="0" borderId="16"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4" fontId="6" fillId="0" borderId="0" xfId="0" applyNumberFormat="1" applyFont="1" applyAlignment="1">
      <alignment horizontal="center" vertical="center" wrapText="1"/>
    </xf>
    <xf numFmtId="0" fontId="75" fillId="0" borderId="1" xfId="0" applyFont="1" applyBorder="1" applyAlignment="1">
      <alignment horizontal="center" vertical="center" wrapText="1"/>
    </xf>
    <xf numFmtId="4" fontId="6" fillId="2" borderId="16" xfId="0" applyNumberFormat="1" applyFont="1" applyFill="1" applyBorder="1" applyAlignment="1">
      <alignment horizontal="center" vertical="center" wrapText="1"/>
    </xf>
    <xf numFmtId="0" fontId="75" fillId="0" borderId="0" xfId="0" applyFont="1" applyAlignment="1">
      <alignment horizontal="center" vertical="center" wrapText="1"/>
    </xf>
    <xf numFmtId="169" fontId="71" fillId="0" borderId="0" xfId="0" applyNumberFormat="1" applyFont="1" applyAlignment="1">
      <alignment horizontal="center" vertical="center" wrapText="1"/>
    </xf>
    <xf numFmtId="182" fontId="71" fillId="0" borderId="0" xfId="0" applyNumberFormat="1" applyFont="1" applyAlignment="1">
      <alignment horizontal="center" vertical="center" wrapText="1"/>
    </xf>
    <xf numFmtId="4" fontId="71" fillId="0" borderId="1" xfId="0" applyNumberFormat="1" applyFont="1" applyBorder="1" applyAlignment="1">
      <alignment horizontal="center" vertical="center" wrapText="1"/>
    </xf>
    <xf numFmtId="181" fontId="71" fillId="0" borderId="1" xfId="1" applyNumberFormat="1" applyFont="1" applyBorder="1" applyAlignment="1" applyProtection="1">
      <alignment horizontal="center" vertical="center" wrapText="1"/>
    </xf>
    <xf numFmtId="4" fontId="54" fillId="7" borderId="16" xfId="0" applyNumberFormat="1" applyFont="1" applyFill="1" applyBorder="1" applyAlignment="1">
      <alignment horizontal="center" vertical="center" wrapText="1"/>
    </xf>
    <xf numFmtId="4" fontId="54" fillId="7" borderId="7" xfId="0" applyNumberFormat="1" applyFont="1" applyFill="1" applyBorder="1" applyAlignment="1">
      <alignment horizontal="center" vertical="center" wrapText="1"/>
    </xf>
    <xf numFmtId="4" fontId="28" fillId="0" borderId="1" xfId="0" applyNumberFormat="1" applyFont="1" applyBorder="1" applyAlignment="1">
      <alignment horizontal="center" vertical="center" wrapText="1"/>
    </xf>
    <xf numFmtId="164" fontId="71" fillId="0" borderId="0" xfId="1" applyFont="1" applyBorder="1" applyAlignment="1" applyProtection="1">
      <alignment horizontal="center" vertical="center" wrapText="1"/>
    </xf>
    <xf numFmtId="4" fontId="71" fillId="0" borderId="1" xfId="0" applyNumberFormat="1" applyFont="1" applyBorder="1"/>
    <xf numFmtId="0" fontId="71" fillId="0" borderId="1" xfId="0" applyFont="1" applyBorder="1" applyAlignment="1">
      <alignment horizontal="center"/>
    </xf>
    <xf numFmtId="0" fontId="0" fillId="0" borderId="13" xfId="0" applyBorder="1" applyAlignment="1">
      <alignment horizontal="center"/>
    </xf>
    <xf numFmtId="169" fontId="0" fillId="0" borderId="13" xfId="0" applyNumberFormat="1" applyBorder="1" applyAlignment="1">
      <alignment horizontal="center" vertical="center" wrapText="1"/>
    </xf>
    <xf numFmtId="164" fontId="103" fillId="7" borderId="13" xfId="1" applyFill="1" applyBorder="1" applyAlignment="1" applyProtection="1">
      <alignment horizontal="center" vertical="center" wrapText="1"/>
    </xf>
    <xf numFmtId="164" fontId="103" fillId="0" borderId="18" xfId="1" applyBorder="1" applyAlignment="1" applyProtection="1">
      <alignment horizontal="center" vertical="center" wrapText="1"/>
    </xf>
    <xf numFmtId="169" fontId="0" fillId="0" borderId="1" xfId="0" applyNumberFormat="1" applyBorder="1" applyAlignment="1">
      <alignment horizontal="center" vertical="center" wrapText="1"/>
    </xf>
    <xf numFmtId="164" fontId="103" fillId="7" borderId="1" xfId="1" applyFill="1" applyBorder="1" applyAlignment="1" applyProtection="1">
      <alignment horizontal="center" vertical="center" wrapText="1"/>
    </xf>
    <xf numFmtId="164" fontId="103" fillId="7" borderId="0" xfId="1" applyFill="1" applyBorder="1" applyAlignment="1" applyProtection="1">
      <alignment horizontal="center" vertical="center" wrapText="1"/>
    </xf>
    <xf numFmtId="169" fontId="0" fillId="0" borderId="0" xfId="0" applyNumberFormat="1" applyAlignment="1">
      <alignment horizontal="center" vertical="center" wrapText="1"/>
    </xf>
    <xf numFmtId="164" fontId="103" fillId="0" borderId="0" xfId="1" applyBorder="1" applyAlignment="1" applyProtection="1">
      <alignment horizontal="center" vertical="center" wrapText="1"/>
    </xf>
    <xf numFmtId="0" fontId="76" fillId="0" borderId="0" xfId="0" applyFont="1" applyAlignment="1">
      <alignment horizontal="center" vertical="center" wrapText="1"/>
    </xf>
    <xf numFmtId="0" fontId="3" fillId="0" borderId="1" xfId="0" applyFont="1" applyBorder="1" applyAlignment="1">
      <alignment horizontal="center" vertical="center"/>
    </xf>
    <xf numFmtId="0" fontId="74" fillId="0" borderId="15" xfId="0" applyFont="1" applyBorder="1" applyAlignment="1">
      <alignment horizontal="center" vertical="center" wrapText="1"/>
    </xf>
    <xf numFmtId="0" fontId="74" fillId="0" borderId="1" xfId="0" applyFont="1" applyBorder="1" applyAlignment="1">
      <alignment horizontal="center" vertical="center" wrapText="1"/>
    </xf>
    <xf numFmtId="3" fontId="54" fillId="0" borderId="1" xfId="0" applyNumberFormat="1" applyFont="1" applyBorder="1" applyAlignment="1">
      <alignment horizontal="center"/>
    </xf>
    <xf numFmtId="4" fontId="71" fillId="0" borderId="0" xfId="0" applyNumberFormat="1" applyFont="1" applyAlignment="1">
      <alignment horizontal="center"/>
    </xf>
    <xf numFmtId="4" fontId="71" fillId="0" borderId="15" xfId="0" applyNumberFormat="1" applyFont="1" applyBorder="1" applyAlignment="1">
      <alignment horizontal="center"/>
    </xf>
    <xf numFmtId="4" fontId="71" fillId="0" borderId="1" xfId="0" applyNumberFormat="1" applyFont="1" applyBorder="1" applyAlignment="1">
      <alignment horizontal="center"/>
    </xf>
    <xf numFmtId="169" fontId="3" fillId="0" borderId="1" xfId="0" applyNumberFormat="1" applyFont="1" applyBorder="1" applyAlignment="1">
      <alignment horizontal="center"/>
    </xf>
    <xf numFmtId="164" fontId="103" fillId="0" borderId="1" xfId="1" applyBorder="1" applyAlignment="1" applyProtection="1">
      <alignment horizontal="right"/>
    </xf>
    <xf numFmtId="164" fontId="71" fillId="0" borderId="1" xfId="1" applyFont="1" applyBorder="1" applyAlignment="1" applyProtection="1">
      <alignment horizontal="center"/>
    </xf>
    <xf numFmtId="0" fontId="76" fillId="0" borderId="1" xfId="0" applyFont="1" applyBorder="1" applyAlignment="1">
      <alignment horizontal="center" vertical="center" wrapText="1"/>
    </xf>
    <xf numFmtId="0" fontId="76" fillId="7" borderId="4" xfId="0" applyFont="1" applyFill="1" applyBorder="1" applyAlignment="1">
      <alignment horizontal="center" vertical="center" wrapText="1"/>
    </xf>
    <xf numFmtId="0" fontId="76" fillId="7" borderId="10" xfId="0" applyFont="1" applyFill="1" applyBorder="1" applyAlignment="1">
      <alignment horizontal="center" vertical="center" wrapText="1"/>
    </xf>
    <xf numFmtId="4" fontId="35" fillId="0" borderId="1" xfId="0" applyNumberFormat="1" applyFont="1" applyBorder="1" applyAlignment="1">
      <alignment horizontal="center"/>
    </xf>
    <xf numFmtId="4" fontId="35" fillId="0" borderId="0" xfId="0" applyNumberFormat="1" applyFont="1" applyAlignment="1">
      <alignment horizontal="center"/>
    </xf>
    <xf numFmtId="0" fontId="35" fillId="0" borderId="0" xfId="0" applyFont="1" applyAlignment="1">
      <alignment horizontal="center"/>
    </xf>
    <xf numFmtId="4" fontId="35" fillId="0" borderId="15" xfId="0" applyNumberFormat="1" applyFont="1" applyBorder="1" applyAlignment="1">
      <alignment horizontal="center"/>
    </xf>
    <xf numFmtId="4" fontId="35" fillId="0" borderId="1" xfId="0" applyNumberFormat="1" applyFont="1" applyBorder="1"/>
    <xf numFmtId="0" fontId="35" fillId="0" borderId="15" xfId="0" applyFont="1" applyBorder="1" applyAlignment="1">
      <alignment horizontal="center"/>
    </xf>
    <xf numFmtId="0" fontId="76" fillId="7" borderId="1" xfId="0" applyFont="1" applyFill="1" applyBorder="1" applyAlignment="1">
      <alignment horizontal="center" vertical="center" wrapText="1"/>
    </xf>
    <xf numFmtId="164" fontId="3" fillId="0" borderId="1" xfId="1" applyFont="1" applyBorder="1" applyAlignment="1" applyProtection="1">
      <alignment horizontal="center"/>
    </xf>
    <xf numFmtId="169" fontId="3" fillId="0" borderId="0" xfId="0" applyNumberFormat="1" applyFont="1"/>
    <xf numFmtId="164" fontId="3" fillId="0" borderId="0" xfId="0" applyNumberFormat="1" applyFont="1"/>
    <xf numFmtId="165" fontId="3" fillId="0" borderId="0" xfId="2" applyNumberFormat="1" applyFont="1" applyBorder="1" applyProtection="1"/>
    <xf numFmtId="164" fontId="3" fillId="0" borderId="0" xfId="1" applyFont="1" applyBorder="1" applyProtection="1"/>
    <xf numFmtId="4" fontId="3" fillId="0" borderId="0" xfId="0" applyNumberFormat="1" applyFont="1" applyAlignment="1">
      <alignment horizontal="center"/>
    </xf>
    <xf numFmtId="164" fontId="3" fillId="0" borderId="1" xfId="0" applyNumberFormat="1" applyFont="1" applyBorder="1" applyAlignment="1">
      <alignment horizontal="center"/>
    </xf>
    <xf numFmtId="4" fontId="3" fillId="0" borderId="0" xfId="0" applyNumberFormat="1" applyFont="1"/>
    <xf numFmtId="183" fontId="3" fillId="0" borderId="0" xfId="1" applyNumberFormat="1" applyFont="1" applyBorder="1" applyProtection="1"/>
    <xf numFmtId="165" fontId="3" fillId="0" borderId="1" xfId="0" applyNumberFormat="1" applyFont="1" applyBorder="1" applyAlignment="1">
      <alignment horizontal="center"/>
    </xf>
    <xf numFmtId="164" fontId="3" fillId="0" borderId="1" xfId="1" applyFont="1" applyBorder="1" applyProtection="1"/>
    <xf numFmtId="184" fontId="3" fillId="0" borderId="0" xfId="0" applyNumberFormat="1" applyFont="1"/>
    <xf numFmtId="164" fontId="103" fillId="0" borderId="1" xfId="1" applyBorder="1" applyProtection="1"/>
    <xf numFmtId="181" fontId="3" fillId="0" borderId="1" xfId="0" applyNumberFormat="1" applyFont="1" applyBorder="1" applyAlignment="1">
      <alignment horizontal="center"/>
    </xf>
    <xf numFmtId="2" fontId="0" fillId="0" borderId="0" xfId="0" applyNumberFormat="1"/>
    <xf numFmtId="0" fontId="77" fillId="8" borderId="0" xfId="0" applyFont="1" applyFill="1"/>
    <xf numFmtId="4" fontId="3" fillId="2" borderId="1" xfId="0" applyNumberFormat="1" applyFont="1" applyFill="1" applyBorder="1"/>
    <xf numFmtId="0" fontId="54" fillId="0" borderId="1" xfId="0" applyFont="1" applyBorder="1"/>
    <xf numFmtId="0" fontId="3" fillId="0" borderId="1" xfId="0" applyFont="1" applyBorder="1"/>
    <xf numFmtId="0" fontId="39" fillId="0" borderId="16" xfId="0" applyFont="1" applyBorder="1" applyAlignment="1">
      <alignment horizontal="center" vertical="center" wrapText="1"/>
    </xf>
    <xf numFmtId="0" fontId="39" fillId="0" borderId="12" xfId="0" applyFont="1" applyBorder="1" applyAlignment="1">
      <alignment horizontal="center" vertical="center" wrapText="1"/>
    </xf>
    <xf numFmtId="0" fontId="39" fillId="0" borderId="15" xfId="0" applyFont="1" applyBorder="1" applyAlignment="1">
      <alignment horizontal="center" vertical="center" wrapText="1"/>
    </xf>
    <xf numFmtId="4" fontId="3" fillId="2" borderId="10" xfId="0" applyNumberFormat="1" applyFont="1" applyFill="1" applyBorder="1"/>
    <xf numFmtId="4" fontId="3" fillId="0" borderId="1" xfId="0" applyNumberFormat="1" applyFont="1" applyBorder="1"/>
    <xf numFmtId="0" fontId="2" fillId="0" borderId="0" xfId="0" applyFont="1" applyAlignment="1">
      <alignment horizontal="center" vertical="center" wrapText="1"/>
    </xf>
    <xf numFmtId="164" fontId="3" fillId="2" borderId="1" xfId="0" applyNumberFormat="1" applyFont="1" applyFill="1" applyBorder="1"/>
    <xf numFmtId="2" fontId="3" fillId="2" borderId="1" xfId="0" applyNumberFormat="1" applyFont="1" applyFill="1" applyBorder="1"/>
    <xf numFmtId="2" fontId="3" fillId="0" borderId="1" xfId="0" applyNumberFormat="1" applyFont="1" applyBorder="1"/>
    <xf numFmtId="164" fontId="3" fillId="0" borderId="1" xfId="0" applyNumberFormat="1" applyFont="1" applyBorder="1"/>
    <xf numFmtId="4" fontId="0" fillId="2" borderId="1" xfId="0" applyNumberFormat="1" applyFill="1" applyBorder="1"/>
    <xf numFmtId="4" fontId="0" fillId="0" borderId="1" xfId="0" applyNumberFormat="1" applyBorder="1"/>
    <xf numFmtId="164" fontId="0" fillId="2" borderId="1" xfId="0" applyNumberFormat="1" applyFill="1" applyBorder="1"/>
    <xf numFmtId="0" fontId="0" fillId="2" borderId="1" xfId="0" applyFill="1" applyBorder="1"/>
    <xf numFmtId="170" fontId="7" fillId="0" borderId="0" xfId="0" applyNumberFormat="1" applyFont="1"/>
    <xf numFmtId="2" fontId="7" fillId="0" borderId="1" xfId="0" applyNumberFormat="1" applyFont="1" applyBorder="1" applyAlignment="1">
      <alignment horizontal="center"/>
    </xf>
    <xf numFmtId="0" fontId="7" fillId="0" borderId="1" xfId="0" applyFont="1" applyBorder="1" applyAlignment="1">
      <alignment horizontal="center" vertical="center" wrapText="1"/>
    </xf>
    <xf numFmtId="165" fontId="7" fillId="0" borderId="0" xfId="0" applyNumberFormat="1" applyFont="1" applyAlignment="1">
      <alignment horizontal="center"/>
    </xf>
    <xf numFmtId="0" fontId="7" fillId="0" borderId="1" xfId="0" applyFont="1" applyBorder="1" applyAlignment="1">
      <alignment vertical="center" wrapText="1"/>
    </xf>
    <xf numFmtId="166" fontId="7" fillId="0" borderId="1" xfId="2" applyFont="1" applyBorder="1" applyAlignment="1" applyProtection="1">
      <alignment horizontal="center" vertical="center"/>
    </xf>
    <xf numFmtId="4" fontId="7" fillId="0" borderId="1" xfId="0" applyNumberFormat="1" applyFont="1" applyBorder="1" applyAlignment="1">
      <alignment horizontal="center"/>
    </xf>
    <xf numFmtId="165" fontId="7" fillId="0" borderId="1" xfId="0" applyNumberFormat="1" applyFont="1" applyBorder="1" applyAlignment="1">
      <alignment horizontal="center"/>
    </xf>
    <xf numFmtId="0" fontId="7" fillId="0" borderId="0" xfId="0" applyFont="1" applyAlignment="1">
      <alignment vertical="center" wrapText="1"/>
    </xf>
    <xf numFmtId="165" fontId="7" fillId="0" borderId="1" xfId="2" applyNumberFormat="1" applyFont="1" applyBorder="1" applyProtection="1"/>
    <xf numFmtId="0" fontId="10" fillId="0" borderId="0" xfId="0" applyFont="1" applyAlignment="1">
      <alignment vertical="center"/>
    </xf>
    <xf numFmtId="168" fontId="0" fillId="0" borderId="0" xfId="0" applyNumberFormat="1" applyAlignment="1">
      <alignment horizontal="right"/>
    </xf>
    <xf numFmtId="171" fontId="0" fillId="0" borderId="0" xfId="0" applyNumberFormat="1" applyAlignment="1">
      <alignment horizontal="right"/>
    </xf>
    <xf numFmtId="0" fontId="57" fillId="0" borderId="0" xfId="0" applyFont="1"/>
    <xf numFmtId="168" fontId="79" fillId="0" borderId="1" xfId="0" applyNumberFormat="1" applyFont="1" applyBorder="1" applyAlignment="1">
      <alignment horizontal="center" vertical="center" wrapText="1"/>
    </xf>
    <xf numFmtId="171" fontId="79" fillId="0" borderId="1" xfId="0" applyNumberFormat="1" applyFont="1" applyBorder="1" applyAlignment="1">
      <alignment horizontal="center" vertical="center" wrapText="1"/>
    </xf>
    <xf numFmtId="0" fontId="3" fillId="0" borderId="16" xfId="0" applyFont="1" applyBorder="1"/>
    <xf numFmtId="0" fontId="30" fillId="0" borderId="0" xfId="0" applyFont="1"/>
    <xf numFmtId="0" fontId="80" fillId="0" borderId="0" xfId="0" applyFont="1" applyAlignment="1">
      <alignment horizontal="center" vertical="center" wrapText="1"/>
    </xf>
    <xf numFmtId="185" fontId="70" fillId="0" borderId="15" xfId="1" applyNumberFormat="1" applyFont="1" applyBorder="1" applyAlignment="1" applyProtection="1">
      <alignment horizontal="right" vertical="center"/>
    </xf>
    <xf numFmtId="186" fontId="37" fillId="0" borderId="15" xfId="2" applyNumberFormat="1" applyFont="1" applyBorder="1" applyAlignment="1" applyProtection="1">
      <alignment horizontal="right" vertical="center"/>
    </xf>
    <xf numFmtId="164" fontId="70" fillId="2" borderId="4" xfId="1" applyFont="1" applyFill="1" applyBorder="1" applyAlignment="1" applyProtection="1">
      <alignment horizontal="right" vertical="center"/>
    </xf>
    <xf numFmtId="185" fontId="70" fillId="0" borderId="15" xfId="1" applyNumberFormat="1" applyFont="1" applyBorder="1" applyAlignment="1" applyProtection="1">
      <alignment horizontal="center" vertical="center"/>
    </xf>
    <xf numFmtId="165" fontId="37" fillId="0" borderId="15" xfId="2" applyNumberFormat="1" applyFont="1" applyBorder="1" applyAlignment="1" applyProtection="1">
      <alignment horizontal="center" vertical="center"/>
    </xf>
    <xf numFmtId="186" fontId="37" fillId="0" borderId="15" xfId="2" applyNumberFormat="1" applyFont="1" applyBorder="1" applyAlignment="1" applyProtection="1">
      <alignment horizontal="center" vertical="center"/>
    </xf>
    <xf numFmtId="168" fontId="3" fillId="2" borderId="0" xfId="0" applyNumberFormat="1" applyFont="1" applyFill="1" applyAlignment="1">
      <alignment horizontal="right"/>
    </xf>
    <xf numFmtId="171" fontId="3" fillId="2" borderId="0" xfId="0" applyNumberFormat="1" applyFont="1" applyFill="1" applyAlignment="1">
      <alignment horizontal="right"/>
    </xf>
    <xf numFmtId="170" fontId="37" fillId="0" borderId="15" xfId="2" applyNumberFormat="1" applyFont="1" applyBorder="1" applyAlignment="1" applyProtection="1">
      <alignment horizontal="center" vertical="center"/>
    </xf>
    <xf numFmtId="170" fontId="37" fillId="0" borderId="1" xfId="2" applyNumberFormat="1" applyFont="1" applyBorder="1" applyAlignment="1" applyProtection="1">
      <alignment horizontal="center" vertical="center"/>
    </xf>
    <xf numFmtId="0" fontId="37" fillId="0" borderId="1" xfId="0" applyFont="1" applyBorder="1" applyAlignment="1">
      <alignment horizontal="left" vertical="center"/>
    </xf>
    <xf numFmtId="165" fontId="81" fillId="0" borderId="15" xfId="2" applyNumberFormat="1" applyFont="1" applyBorder="1" applyAlignment="1" applyProtection="1">
      <alignment horizontal="center" vertical="center"/>
    </xf>
    <xf numFmtId="0" fontId="3" fillId="2" borderId="16" xfId="0" applyFont="1" applyFill="1" applyBorder="1" applyAlignment="1">
      <alignment horizontal="center"/>
    </xf>
    <xf numFmtId="0" fontId="3" fillId="2" borderId="15" xfId="0" applyFont="1" applyFill="1" applyBorder="1" applyAlignment="1">
      <alignment horizontal="center"/>
    </xf>
    <xf numFmtId="0" fontId="70" fillId="0" borderId="15" xfId="0" applyFont="1" applyBorder="1" applyAlignment="1">
      <alignment horizontal="center" vertical="center"/>
    </xf>
    <xf numFmtId="164" fontId="30" fillId="0" borderId="0" xfId="1" applyFont="1" applyBorder="1" applyAlignment="1" applyProtection="1">
      <alignment horizontal="center"/>
    </xf>
    <xf numFmtId="0" fontId="30" fillId="0" borderId="0" xfId="0" applyFont="1" applyAlignment="1">
      <alignment horizontal="center" vertical="center"/>
    </xf>
    <xf numFmtId="165" fontId="37" fillId="0" borderId="15" xfId="2" applyNumberFormat="1" applyFont="1" applyBorder="1" applyAlignment="1" applyProtection="1">
      <alignment horizontal="right" vertical="center"/>
    </xf>
    <xf numFmtId="171" fontId="3" fillId="0" borderId="1" xfId="0" applyNumberFormat="1" applyFont="1" applyBorder="1" applyAlignment="1">
      <alignment horizontal="right" vertical="center"/>
    </xf>
    <xf numFmtId="0" fontId="30" fillId="0" borderId="0" xfId="0" applyFont="1" applyAlignment="1">
      <alignment horizontal="center" vertical="center" wrapText="1"/>
    </xf>
    <xf numFmtId="0" fontId="61" fillId="0" borderId="0" xfId="0" applyFont="1"/>
    <xf numFmtId="164" fontId="37" fillId="0" borderId="15" xfId="1" applyFont="1" applyBorder="1" applyAlignment="1" applyProtection="1">
      <alignment horizontal="right" vertical="center"/>
    </xf>
    <xf numFmtId="2" fontId="3" fillId="0" borderId="15" xfId="0" applyNumberFormat="1" applyFont="1" applyBorder="1" applyAlignment="1">
      <alignment horizontal="right" vertical="center"/>
    </xf>
    <xf numFmtId="0" fontId="61" fillId="0" borderId="0" xfId="0" applyFont="1" applyAlignment="1">
      <alignment horizontal="left"/>
    </xf>
    <xf numFmtId="166" fontId="37" fillId="0" borderId="1" xfId="2" applyFont="1" applyBorder="1" applyAlignment="1" applyProtection="1">
      <alignment horizontal="right" vertical="center"/>
    </xf>
    <xf numFmtId="164" fontId="82" fillId="0" borderId="1" xfId="1" applyFont="1" applyBorder="1" applyAlignment="1" applyProtection="1">
      <alignment horizontal="center" vertical="center"/>
    </xf>
    <xf numFmtId="2" fontId="3" fillId="0" borderId="1" xfId="0" applyNumberFormat="1" applyFont="1" applyBorder="1" applyAlignment="1">
      <alignment horizontal="center" vertical="center"/>
    </xf>
    <xf numFmtId="164" fontId="37" fillId="0" borderId="1" xfId="1" applyFont="1" applyBorder="1" applyAlignment="1" applyProtection="1">
      <alignment horizontal="center" vertical="center"/>
    </xf>
    <xf numFmtId="0" fontId="37" fillId="0" borderId="16" xfId="0" applyFont="1" applyBorder="1" applyAlignment="1">
      <alignment vertical="center"/>
    </xf>
    <xf numFmtId="0" fontId="37" fillId="0" borderId="15" xfId="0" applyFont="1" applyBorder="1" applyAlignment="1">
      <alignment vertical="center"/>
    </xf>
    <xf numFmtId="164" fontId="37" fillId="0" borderId="1" xfId="1" applyFont="1" applyBorder="1" applyAlignment="1" applyProtection="1">
      <alignment horizontal="right" vertical="center"/>
    </xf>
    <xf numFmtId="164" fontId="81" fillId="0" borderId="1" xfId="1" applyFont="1" applyBorder="1" applyAlignment="1" applyProtection="1">
      <alignment horizontal="center" vertical="center"/>
    </xf>
    <xf numFmtId="0" fontId="83" fillId="0" borderId="0" xfId="0" applyFont="1"/>
    <xf numFmtId="183" fontId="82" fillId="0" borderId="15" xfId="1" applyNumberFormat="1" applyFont="1" applyBorder="1" applyAlignment="1" applyProtection="1">
      <alignment horizontal="right" vertical="center" wrapText="1"/>
    </xf>
    <xf numFmtId="183" fontId="82" fillId="0" borderId="1" xfId="1" applyNumberFormat="1" applyFont="1" applyBorder="1" applyAlignment="1" applyProtection="1">
      <alignment horizontal="right" vertical="center" wrapText="1"/>
    </xf>
    <xf numFmtId="164" fontId="30" fillId="0" borderId="0" xfId="1" applyFont="1" applyBorder="1" applyAlignment="1" applyProtection="1">
      <alignment horizontal="center" vertical="center" wrapText="1"/>
    </xf>
    <xf numFmtId="2" fontId="37" fillId="0" borderId="0" xfId="0" applyNumberFormat="1" applyFont="1" applyAlignment="1">
      <alignment horizontal="right"/>
    </xf>
    <xf numFmtId="2" fontId="30" fillId="0" borderId="1" xfId="0" applyNumberFormat="1" applyFont="1" applyBorder="1" applyAlignment="1">
      <alignment horizontal="right" vertical="center" wrapText="1"/>
    </xf>
    <xf numFmtId="164" fontId="82" fillId="0" borderId="1" xfId="1" applyFont="1" applyBorder="1" applyAlignment="1" applyProtection="1">
      <alignment horizontal="right" vertical="center"/>
    </xf>
    <xf numFmtId="2" fontId="30" fillId="0" borderId="0" xfId="0" applyNumberFormat="1" applyFont="1" applyAlignment="1">
      <alignment horizontal="right"/>
    </xf>
    <xf numFmtId="0" fontId="67" fillId="0" borderId="0" xfId="0" applyFont="1" applyAlignment="1">
      <alignment horizontal="center" vertical="center" wrapText="1"/>
    </xf>
    <xf numFmtId="168" fontId="3" fillId="0" borderId="0" xfId="0" applyNumberFormat="1" applyFont="1" applyAlignment="1">
      <alignment horizontal="right"/>
    </xf>
    <xf numFmtId="171" fontId="3" fillId="0" borderId="0" xfId="0" applyNumberFormat="1" applyFont="1" applyAlignment="1">
      <alignment horizontal="right"/>
    </xf>
    <xf numFmtId="0" fontId="7" fillId="0" borderId="0" xfId="0" applyFont="1" applyAlignment="1">
      <alignment horizontal="center" vertical="center" wrapText="1"/>
    </xf>
    <xf numFmtId="0" fontId="10" fillId="0" borderId="1" xfId="0" applyFont="1" applyBorder="1" applyAlignment="1">
      <alignment horizontal="center" vertical="center" wrapText="1"/>
    </xf>
    <xf numFmtId="0" fontId="22" fillId="0" borderId="1" xfId="0" applyFont="1" applyBorder="1" applyAlignment="1">
      <alignment horizontal="center" vertical="center" wrapText="1"/>
    </xf>
    <xf numFmtId="165" fontId="7" fillId="0" borderId="1" xfId="0" applyNumberFormat="1" applyFont="1" applyBorder="1" applyAlignment="1">
      <alignment horizontal="center" vertical="center" wrapText="1"/>
    </xf>
    <xf numFmtId="165" fontId="7" fillId="0" borderId="1" xfId="1" applyNumberFormat="1" applyFont="1" applyBorder="1" applyAlignment="1" applyProtection="1">
      <alignment horizontal="center" vertical="center" wrapText="1"/>
    </xf>
    <xf numFmtId="168" fontId="7" fillId="0" borderId="1" xfId="0" applyNumberFormat="1" applyFont="1" applyBorder="1" applyAlignment="1">
      <alignment horizontal="center" vertical="center" wrapText="1"/>
    </xf>
    <xf numFmtId="168" fontId="10" fillId="0" borderId="1" xfId="0" applyNumberFormat="1" applyFont="1" applyBorder="1" applyAlignment="1">
      <alignment horizontal="center" vertical="center" wrapText="1"/>
    </xf>
    <xf numFmtId="165" fontId="10" fillId="0" borderId="1" xfId="0" applyNumberFormat="1" applyFont="1" applyBorder="1" applyAlignment="1">
      <alignment horizontal="center" vertical="center" wrapText="1"/>
    </xf>
    <xf numFmtId="168" fontId="10" fillId="0" borderId="0" xfId="0" applyNumberFormat="1" applyFont="1" applyAlignment="1">
      <alignment horizontal="center" vertical="center" wrapText="1"/>
    </xf>
    <xf numFmtId="165" fontId="10" fillId="0" borderId="0" xfId="0" applyNumberFormat="1" applyFont="1" applyAlignment="1">
      <alignment horizontal="center" vertical="center" wrapText="1"/>
    </xf>
    <xf numFmtId="168" fontId="7" fillId="0" borderId="0" xfId="0" applyNumberFormat="1" applyFont="1" applyAlignment="1">
      <alignment horizontal="center" vertical="center" wrapText="1"/>
    </xf>
    <xf numFmtId="0" fontId="7" fillId="0" borderId="0" xfId="0" applyFont="1" applyAlignment="1">
      <alignment horizontal="right"/>
    </xf>
    <xf numFmtId="164" fontId="30" fillId="0" borderId="0" xfId="1" applyFont="1" applyBorder="1" applyAlignment="1" applyProtection="1">
      <alignment horizontal="right"/>
    </xf>
    <xf numFmtId="0" fontId="3" fillId="0" borderId="0" xfId="0" applyFont="1" applyAlignment="1">
      <alignment horizontal="right"/>
    </xf>
    <xf numFmtId="0" fontId="3" fillId="0" borderId="1" xfId="0" applyFont="1" applyBorder="1" applyAlignment="1">
      <alignment horizontal="right" vertical="center" wrapText="1"/>
    </xf>
    <xf numFmtId="165" fontId="3" fillId="0" borderId="1" xfId="2" applyNumberFormat="1" applyFont="1" applyBorder="1" applyAlignment="1" applyProtection="1">
      <alignment horizontal="right" vertical="center" wrapText="1"/>
    </xf>
    <xf numFmtId="0" fontId="3" fillId="0" borderId="0" xfId="0" applyFont="1" applyAlignment="1">
      <alignment horizontal="right" vertical="center" wrapText="1"/>
    </xf>
    <xf numFmtId="169"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0" fontId="68"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85" fillId="0" borderId="1" xfId="0" applyFont="1" applyBorder="1" applyAlignment="1">
      <alignment horizontal="center" vertical="center" wrapText="1"/>
    </xf>
    <xf numFmtId="2" fontId="6" fillId="0" borderId="1" xfId="0" applyNumberFormat="1" applyFont="1" applyBorder="1" applyAlignment="1">
      <alignment horizontal="center" vertical="center" wrapText="1"/>
    </xf>
    <xf numFmtId="169" fontId="7"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0" fontId="3" fillId="0" borderId="0" xfId="0" applyFont="1" applyProtection="1">
      <protection locked="0"/>
    </xf>
    <xf numFmtId="0" fontId="3" fillId="0" borderId="9" xfId="0" applyFont="1" applyBorder="1" applyAlignment="1">
      <alignment horizontal="center"/>
    </xf>
    <xf numFmtId="0" fontId="3" fillId="0" borderId="13" xfId="0" applyFont="1" applyBorder="1" applyAlignment="1">
      <alignment horizontal="center"/>
    </xf>
    <xf numFmtId="14" fontId="3" fillId="0" borderId="15"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5" xfId="1" applyFont="1" applyFill="1" applyBorder="1" applyAlignment="1" applyProtection="1">
      <alignment horizontal="center"/>
    </xf>
    <xf numFmtId="14" fontId="3" fillId="0" borderId="1" xfId="0" applyNumberFormat="1" applyFont="1" applyBorder="1" applyAlignment="1">
      <alignment horizontal="center"/>
    </xf>
    <xf numFmtId="164" fontId="3" fillId="2" borderId="1" xfId="1" applyFont="1" applyFill="1" applyBorder="1" applyAlignment="1" applyProtection="1">
      <alignment horizontal="center"/>
    </xf>
    <xf numFmtId="164" fontId="7" fillId="0" borderId="1" xfId="1" applyFont="1" applyBorder="1" applyAlignment="1" applyProtection="1">
      <alignment horizontal="center" vertical="center"/>
    </xf>
    <xf numFmtId="4" fontId="7" fillId="0" borderId="0" xfId="0" applyNumberFormat="1" applyFont="1"/>
    <xf numFmtId="164" fontId="7" fillId="0" borderId="1" xfId="1" applyFont="1" applyBorder="1" applyAlignment="1" applyProtection="1">
      <alignment horizontal="center"/>
    </xf>
    <xf numFmtId="166" fontId="7" fillId="0" borderId="1" xfId="2" applyFont="1" applyBorder="1" applyProtection="1"/>
    <xf numFmtId="165" fontId="7" fillId="0" borderId="0" xfId="0" applyNumberFormat="1" applyFont="1"/>
    <xf numFmtId="165" fontId="7" fillId="0" borderId="1" xfId="2" applyNumberFormat="1" applyFont="1" applyBorder="1" applyAlignment="1" applyProtection="1">
      <alignment horizontal="center"/>
    </xf>
    <xf numFmtId="166" fontId="7" fillId="0" borderId="0" xfId="2" applyFont="1" applyBorder="1" applyProtection="1"/>
    <xf numFmtId="164" fontId="7" fillId="0" borderId="1" xfId="1" applyFont="1" applyBorder="1" applyProtection="1"/>
    <xf numFmtId="165" fontId="7" fillId="0" borderId="0" xfId="2" applyNumberFormat="1" applyFont="1" applyBorder="1" applyProtection="1"/>
    <xf numFmtId="0" fontId="27"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0" fontId="89" fillId="0" borderId="1" xfId="0" applyFont="1" applyBorder="1" applyAlignment="1">
      <alignment horizontal="center" vertical="center" wrapText="1"/>
    </xf>
    <xf numFmtId="14" fontId="0" fillId="0" borderId="0" xfId="0" applyNumberFormat="1" applyAlignment="1">
      <alignment horizontal="center" vertical="center" wrapText="1"/>
    </xf>
    <xf numFmtId="2" fontId="0" fillId="0" borderId="1" xfId="0" applyNumberFormat="1" applyBorder="1" applyAlignment="1">
      <alignment horizontal="center" vertical="center" wrapText="1"/>
    </xf>
    <xf numFmtId="2" fontId="0" fillId="2" borderId="1" xfId="0" applyNumberFormat="1" applyFill="1" applyBorder="1" applyAlignment="1">
      <alignment horizontal="center" vertical="center" wrapText="1"/>
    </xf>
    <xf numFmtId="0" fontId="89" fillId="0" borderId="0" xfId="0" applyFont="1" applyAlignment="1">
      <alignment horizontal="center" vertical="center" wrapText="1"/>
    </xf>
    <xf numFmtId="0" fontId="103" fillId="0" borderId="0" xfId="5" applyAlignment="1">
      <alignment horizontal="center"/>
    </xf>
    <xf numFmtId="164" fontId="90" fillId="2" borderId="1"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0" fontId="103" fillId="0" borderId="0" xfId="5"/>
    <xf numFmtId="14" fontId="0" fillId="0" borderId="0" xfId="0" applyNumberFormat="1"/>
    <xf numFmtId="0" fontId="76" fillId="0" borderId="15" xfId="5" applyFont="1" applyBorder="1" applyAlignment="1">
      <alignment horizontal="center" vertical="center" wrapText="1"/>
    </xf>
    <xf numFmtId="0" fontId="76" fillId="0" borderId="1" xfId="5" applyFont="1" applyBorder="1" applyAlignment="1">
      <alignment horizontal="center" vertical="center" wrapText="1"/>
    </xf>
    <xf numFmtId="0" fontId="92" fillId="0" borderId="15" xfId="0" applyFont="1" applyBorder="1" applyAlignment="1">
      <alignment horizontal="center" vertical="center" wrapText="1"/>
    </xf>
    <xf numFmtId="2" fontId="93" fillId="0" borderId="1" xfId="5" applyNumberFormat="1" applyFont="1" applyBorder="1" applyAlignment="1">
      <alignment horizontal="center" vertical="center" wrapText="1"/>
    </xf>
    <xf numFmtId="2" fontId="94" fillId="0" borderId="1" xfId="5" applyNumberFormat="1" applyFont="1" applyBorder="1" applyAlignment="1">
      <alignment horizontal="center" vertical="center" wrapText="1"/>
    </xf>
    <xf numFmtId="1" fontId="77" fillId="10" borderId="15" xfId="5" applyNumberFormat="1" applyFont="1" applyFill="1" applyBorder="1" applyAlignment="1">
      <alignment horizontal="center" vertical="center" wrapText="1"/>
    </xf>
    <xf numFmtId="2" fontId="103" fillId="0" borderId="1" xfId="5" applyNumberFormat="1" applyBorder="1" applyAlignment="1">
      <alignment horizontal="center" vertical="center" wrapText="1"/>
    </xf>
    <xf numFmtId="0" fontId="95" fillId="10" borderId="1" xfId="0" applyFont="1" applyFill="1" applyBorder="1" applyAlignment="1">
      <alignment horizontal="center" vertical="center" wrapText="1"/>
    </xf>
    <xf numFmtId="164" fontId="103" fillId="0" borderId="1" xfId="1" applyBorder="1" applyAlignment="1" applyProtection="1">
      <alignment horizontal="center" vertical="center" wrapText="1"/>
    </xf>
    <xf numFmtId="164" fontId="35" fillId="0" borderId="1" xfId="1" applyFont="1" applyBorder="1" applyAlignment="1" applyProtection="1">
      <alignment horizontal="center" vertical="center" wrapText="1"/>
    </xf>
    <xf numFmtId="164" fontId="96" fillId="0" borderId="1" xfId="1" applyFont="1" applyBorder="1" applyAlignment="1" applyProtection="1">
      <alignment horizontal="center" vertical="center" wrapText="1"/>
    </xf>
    <xf numFmtId="0" fontId="97" fillId="0" borderId="0" xfId="0" applyFont="1"/>
    <xf numFmtId="2" fontId="103" fillId="0" borderId="0" xfId="5" applyNumberFormat="1" applyAlignment="1">
      <alignment horizontal="center" vertical="center" wrapText="1"/>
    </xf>
    <xf numFmtId="2" fontId="103" fillId="0" borderId="13" xfId="5" applyNumberFormat="1" applyBorder="1" applyAlignment="1">
      <alignment horizontal="center" vertical="center" wrapText="1"/>
    </xf>
    <xf numFmtId="0" fontId="98" fillId="0" borderId="1" xfId="5" applyFont="1" applyBorder="1" applyAlignment="1">
      <alignment horizontal="center" vertical="center" wrapText="1"/>
    </xf>
    <xf numFmtId="164" fontId="98" fillId="0" borderId="1" xfId="1" applyFont="1" applyBorder="1" applyAlignment="1" applyProtection="1">
      <alignment horizontal="center" vertical="center" wrapText="1"/>
    </xf>
    <xf numFmtId="2" fontId="35" fillId="0" borderId="1" xfId="5" applyNumberFormat="1" applyFont="1" applyBorder="1" applyAlignment="1">
      <alignment horizontal="center" vertical="center" wrapText="1"/>
    </xf>
    <xf numFmtId="0" fontId="75" fillId="0" borderId="13" xfId="0" applyFont="1" applyBorder="1" applyAlignment="1">
      <alignment horizontal="center" vertical="center" wrapText="1"/>
    </xf>
    <xf numFmtId="14" fontId="75" fillId="4" borderId="13" xfId="0" applyNumberFormat="1" applyFont="1" applyFill="1" applyBorder="1" applyAlignment="1">
      <alignment horizontal="center" vertical="center" wrapText="1"/>
    </xf>
    <xf numFmtId="14" fontId="0" fillId="0" borderId="0" xfId="0" applyNumberFormat="1" applyAlignment="1">
      <alignment horizontal="center"/>
    </xf>
    <xf numFmtId="14" fontId="75" fillId="4" borderId="1" xfId="0" applyNumberFormat="1" applyFont="1" applyFill="1" applyBorder="1" applyAlignment="1">
      <alignment horizontal="center" vertical="center" wrapText="1"/>
    </xf>
    <xf numFmtId="2" fontId="75" fillId="4" borderId="1" xfId="0" applyNumberFormat="1" applyFont="1" applyFill="1" applyBorder="1" applyAlignment="1">
      <alignment horizontal="center" vertical="center" wrapText="1"/>
    </xf>
    <xf numFmtId="0" fontId="75" fillId="4" borderId="1" xfId="0" applyFont="1" applyFill="1" applyBorder="1" applyAlignment="1">
      <alignment horizontal="center" vertical="center" wrapText="1"/>
    </xf>
    <xf numFmtId="0" fontId="75" fillId="11" borderId="1" xfId="0" applyFont="1" applyFill="1" applyBorder="1" applyAlignment="1">
      <alignment horizontal="center" vertical="center" wrapText="1"/>
    </xf>
    <xf numFmtId="0" fontId="75" fillId="2" borderId="1" xfId="0" applyFont="1" applyFill="1" applyBorder="1" applyAlignment="1">
      <alignment horizontal="center" vertical="center" wrapText="1"/>
    </xf>
    <xf numFmtId="0" fontId="75" fillId="4" borderId="16" xfId="0" applyFont="1" applyFill="1" applyBorder="1" applyAlignment="1">
      <alignment horizontal="center" vertical="center" wrapText="1"/>
    </xf>
    <xf numFmtId="164" fontId="98" fillId="2" borderId="1" xfId="0" applyNumberFormat="1" applyFont="1" applyFill="1" applyBorder="1" applyAlignment="1">
      <alignment horizontal="center" vertical="center" wrapText="1"/>
    </xf>
    <xf numFmtId="164" fontId="0" fillId="2" borderId="1" xfId="0" applyNumberFormat="1" applyFill="1" applyBorder="1" applyAlignment="1">
      <alignment horizontal="center" vertical="center" wrapText="1"/>
    </xf>
    <xf numFmtId="1" fontId="103" fillId="2" borderId="15" xfId="5" applyNumberFormat="1" applyFill="1" applyBorder="1" applyAlignment="1">
      <alignment horizontal="center" vertical="center" wrapText="1"/>
    </xf>
    <xf numFmtId="0" fontId="97" fillId="2" borderId="1" xfId="0" applyFont="1" applyFill="1" applyBorder="1" applyAlignment="1">
      <alignment horizontal="center" vertical="center" wrapText="1"/>
    </xf>
    <xf numFmtId="2" fontId="35" fillId="0" borderId="0" xfId="5" applyNumberFormat="1" applyFont="1" applyAlignment="1">
      <alignment horizontal="center" vertical="center" wrapText="1"/>
    </xf>
    <xf numFmtId="14" fontId="76"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1" fillId="0" borderId="0" xfId="0" applyFont="1" applyAlignment="1">
      <alignment horizontal="center" vertical="center" wrapText="1"/>
    </xf>
    <xf numFmtId="14" fontId="76"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164" fontId="103" fillId="2" borderId="1" xfId="1" applyFill="1" applyBorder="1" applyAlignment="1" applyProtection="1">
      <alignment horizontal="center" vertical="center" wrapText="1"/>
    </xf>
    <xf numFmtId="0" fontId="74" fillId="4" borderId="1" xfId="5" applyFont="1" applyFill="1" applyBorder="1" applyAlignment="1">
      <alignment horizontal="center" vertical="center" wrapText="1"/>
    </xf>
    <xf numFmtId="0" fontId="74" fillId="4" borderId="5" xfId="5" applyFont="1" applyFill="1" applyBorder="1" applyAlignment="1">
      <alignment horizontal="center" vertical="center" wrapText="1"/>
    </xf>
    <xf numFmtId="0" fontId="74" fillId="4" borderId="18" xfId="5" applyFont="1" applyFill="1" applyBorder="1" applyAlignment="1">
      <alignment horizontal="center" vertical="center" wrapText="1"/>
    </xf>
    <xf numFmtId="0" fontId="96" fillId="0" borderId="1" xfId="0" applyFont="1" applyBorder="1" applyAlignment="1">
      <alignment horizontal="center" vertical="center" wrapText="1"/>
    </xf>
    <xf numFmtId="0" fontId="94" fillId="0" borderId="1" xfId="5" applyFont="1" applyBorder="1" applyAlignment="1">
      <alignment horizontal="center" vertical="center" wrapText="1"/>
    </xf>
    <xf numFmtId="14" fontId="35" fillId="0" borderId="1" xfId="5" applyNumberFormat="1" applyFont="1" applyBorder="1" applyAlignment="1">
      <alignment horizontal="center" vertical="center" wrapText="1"/>
    </xf>
    <xf numFmtId="1" fontId="30" fillId="2" borderId="1" xfId="5" applyNumberFormat="1" applyFont="1" applyFill="1" applyBorder="1" applyAlignment="1">
      <alignment horizontal="center" vertical="center" wrapText="1"/>
    </xf>
    <xf numFmtId="2" fontId="30" fillId="4" borderId="1" xfId="5" applyNumberFormat="1" applyFont="1" applyFill="1" applyBorder="1" applyAlignment="1">
      <alignment horizontal="center" vertical="center" wrapText="1"/>
    </xf>
    <xf numFmtId="0" fontId="37" fillId="2" borderId="1" xfId="0" applyFont="1" applyFill="1" applyBorder="1" applyAlignment="1">
      <alignment horizontal="center" vertical="center" wrapText="1"/>
    </xf>
    <xf numFmtId="2" fontId="30" fillId="2" borderId="1" xfId="5" applyNumberFormat="1" applyFont="1" applyFill="1" applyBorder="1" applyAlignment="1">
      <alignment horizontal="center" vertical="center" wrapText="1"/>
    </xf>
    <xf numFmtId="2" fontId="30" fillId="0" borderId="1" xfId="5" applyNumberFormat="1" applyFont="1" applyBorder="1" applyAlignment="1">
      <alignment horizontal="center" vertical="center" wrapText="1"/>
    </xf>
    <xf numFmtId="2" fontId="37" fillId="0" borderId="1" xfId="0" applyNumberFormat="1" applyFont="1" applyBorder="1" applyAlignment="1">
      <alignment horizontal="center" vertical="center" wrapText="1"/>
    </xf>
    <xf numFmtId="0" fontId="30" fillId="0" borderId="1" xfId="5" applyFont="1" applyBorder="1" applyAlignment="1">
      <alignment horizontal="center" vertical="center" wrapText="1"/>
    </xf>
    <xf numFmtId="14" fontId="30" fillId="0" borderId="1" xfId="5" applyNumberFormat="1" applyFont="1" applyBorder="1" applyAlignment="1">
      <alignment horizontal="center" vertical="center" wrapText="1"/>
    </xf>
    <xf numFmtId="0" fontId="37" fillId="0" borderId="1" xfId="5" applyFont="1" applyBorder="1" applyAlignment="1">
      <alignment horizontal="center" vertical="center" wrapText="1"/>
    </xf>
    <xf numFmtId="2" fontId="7" fillId="0" borderId="10" xfId="5" applyNumberFormat="1" applyFont="1" applyBorder="1" applyAlignment="1">
      <alignment horizontal="center" vertical="center" wrapText="1"/>
    </xf>
    <xf numFmtId="2" fontId="7" fillId="0" borderId="1" xfId="5" applyNumberFormat="1" applyFont="1" applyBorder="1" applyAlignment="1">
      <alignment horizontal="center" vertical="center" wrapText="1"/>
    </xf>
    <xf numFmtId="0" fontId="7" fillId="0" borderId="1" xfId="5" applyFont="1" applyBorder="1" applyAlignment="1">
      <alignment horizontal="center" vertical="center" wrapText="1"/>
    </xf>
    <xf numFmtId="2" fontId="10" fillId="0" borderId="1" xfId="5" applyNumberFormat="1" applyFont="1" applyBorder="1" applyAlignment="1">
      <alignment horizontal="center" vertical="center" wrapText="1"/>
    </xf>
    <xf numFmtId="2" fontId="7" fillId="0" borderId="0" xfId="5" applyNumberFormat="1" applyFont="1" applyAlignment="1">
      <alignment horizontal="center" vertical="center" wrapText="1"/>
    </xf>
    <xf numFmtId="0" fontId="70" fillId="0" borderId="0" xfId="0" applyFont="1"/>
    <xf numFmtId="0" fontId="70" fillId="0" borderId="1" xfId="5" applyFont="1" applyBorder="1" applyAlignment="1">
      <alignment horizontal="center" vertical="center" wrapText="1"/>
    </xf>
    <xf numFmtId="0" fontId="70" fillId="0" borderId="0" xfId="5" applyFont="1" applyAlignment="1">
      <alignment horizontal="center" vertical="center" wrapText="1"/>
    </xf>
    <xf numFmtId="2" fontId="71" fillId="0" borderId="0" xfId="5" applyNumberFormat="1" applyFont="1" applyAlignment="1">
      <alignment horizontal="center" vertical="center" wrapText="1"/>
    </xf>
    <xf numFmtId="164" fontId="3" fillId="2" borderId="1" xfId="1" applyFont="1" applyFill="1" applyBorder="1" applyAlignment="1" applyProtection="1">
      <alignment vertical="center" wrapText="1"/>
    </xf>
    <xf numFmtId="0" fontId="3" fillId="0" borderId="18"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vertical="center"/>
    </xf>
    <xf numFmtId="164" fontId="3" fillId="0" borderId="0" xfId="1" applyFont="1" applyBorder="1" applyAlignment="1" applyProtection="1">
      <alignment vertical="center" wrapText="1"/>
    </xf>
    <xf numFmtId="169" fontId="3" fillId="0" borderId="1" xfId="0" applyNumberFormat="1" applyFont="1" applyBorder="1" applyAlignment="1">
      <alignment vertical="center"/>
    </xf>
    <xf numFmtId="169" fontId="2" fillId="0" borderId="1" xfId="0" applyNumberFormat="1" applyFont="1" applyBorder="1" applyAlignment="1">
      <alignment vertical="center"/>
    </xf>
    <xf numFmtId="0" fontId="3" fillId="0" borderId="1" xfId="0" applyFont="1" applyBorder="1" applyAlignment="1">
      <alignment horizontal="right" vertical="center"/>
    </xf>
    <xf numFmtId="164" fontId="3" fillId="0" borderId="1" xfId="1" applyFont="1" applyBorder="1" applyAlignment="1" applyProtection="1">
      <alignment horizontal="center" vertical="center"/>
    </xf>
    <xf numFmtId="0" fontId="2" fillId="0" borderId="1" xfId="0" applyFont="1" applyBorder="1" applyAlignment="1">
      <alignment horizontal="right" vertical="center"/>
    </xf>
    <xf numFmtId="164" fontId="2" fillId="0" borderId="1" xfId="1" applyFont="1" applyBorder="1" applyAlignment="1" applyProtection="1">
      <alignment horizontal="center" vertical="center"/>
    </xf>
    <xf numFmtId="164" fontId="3" fillId="0" borderId="1" xfId="1" applyFont="1" applyBorder="1" applyAlignment="1" applyProtection="1">
      <alignment horizontal="center" vertical="center" wrapText="1"/>
    </xf>
    <xf numFmtId="187" fontId="103" fillId="0" borderId="0" xfId="2" applyNumberFormat="1"/>
    <xf numFmtId="187" fontId="103" fillId="0" borderId="1" xfId="2" applyNumberFormat="1" applyBorder="1"/>
    <xf numFmtId="187" fontId="103" fillId="0" borderId="1" xfId="2" applyNumberFormat="1" applyBorder="1" applyProtection="1"/>
    <xf numFmtId="164" fontId="7" fillId="0" borderId="1" xfId="1" applyFont="1" applyBorder="1" applyAlignment="1" applyProtection="1">
      <alignment horizontal="center" vertical="center" wrapText="1"/>
    </xf>
    <xf numFmtId="0" fontId="0" fillId="0" borderId="0" xfId="0" applyAlignment="1">
      <alignment horizontal="center"/>
    </xf>
    <xf numFmtId="0" fontId="0" fillId="0" borderId="1" xfId="0" applyBorder="1" applyAlignment="1">
      <alignment horizontal="center" vertical="center" wrapText="1"/>
    </xf>
    <xf numFmtId="0" fontId="2" fillId="0" borderId="0" xfId="0" applyFont="1" applyAlignment="1">
      <alignment horizontal="left"/>
    </xf>
    <xf numFmtId="0" fontId="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164" fontId="7" fillId="0" borderId="10" xfId="3" applyFont="1" applyBorder="1" applyAlignment="1" applyProtection="1">
      <alignment horizontal="center" vertical="center" wrapText="1"/>
    </xf>
    <xf numFmtId="0" fontId="17" fillId="0" borderId="0" xfId="0" applyFont="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xf>
    <xf numFmtId="0" fontId="15" fillId="0" borderId="1" xfId="0" applyFont="1" applyBorder="1" applyAlignment="1">
      <alignment horizontal="center" vertical="center" wrapText="1"/>
    </xf>
    <xf numFmtId="2" fontId="11" fillId="2" borderId="1" xfId="0" applyNumberFormat="1" applyFont="1" applyFill="1" applyBorder="1" applyAlignment="1">
      <alignment horizontal="center" vertical="center"/>
    </xf>
    <xf numFmtId="0" fontId="11" fillId="4" borderId="1" xfId="0" applyFont="1" applyFill="1" applyBorder="1" applyAlignment="1">
      <alignment horizontal="center"/>
    </xf>
    <xf numFmtId="0" fontId="14" fillId="0" borderId="1" xfId="0" applyFont="1" applyBorder="1" applyAlignment="1">
      <alignment horizontal="center" vertical="center" wrapText="1"/>
    </xf>
    <xf numFmtId="0" fontId="11" fillId="0" borderId="1" xfId="0" applyFont="1" applyBorder="1" applyAlignment="1">
      <alignment horizontal="center" vertical="center"/>
    </xf>
    <xf numFmtId="0" fontId="7" fillId="0" borderId="1" xfId="0" applyFont="1" applyBorder="1" applyAlignment="1">
      <alignment horizontal="center" vertical="center"/>
    </xf>
    <xf numFmtId="1" fontId="11" fillId="0" borderId="1" xfId="0" applyNumberFormat="1" applyFont="1" applyBorder="1" applyAlignment="1">
      <alignment horizontal="center" vertical="center"/>
    </xf>
    <xf numFmtId="0" fontId="11" fillId="0" borderId="5" xfId="0" applyFont="1" applyBorder="1" applyAlignment="1">
      <alignment horizontal="left" vertical="center" wrapText="1"/>
    </xf>
    <xf numFmtId="0" fontId="13" fillId="2" borderId="1" xfId="0" applyFont="1" applyFill="1" applyBorder="1" applyAlignment="1">
      <alignment horizontal="center" vertical="center" wrapText="1"/>
    </xf>
    <xf numFmtId="0" fontId="49" fillId="0" borderId="16" xfId="0" applyFont="1" applyBorder="1" applyAlignment="1">
      <alignment horizontal="left" vertical="center"/>
    </xf>
    <xf numFmtId="0" fontId="25" fillId="0" borderId="13"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6" xfId="0" applyFont="1" applyBorder="1" applyAlignment="1">
      <alignment horizontal="center"/>
    </xf>
    <xf numFmtId="0" fontId="13" fillId="0" borderId="0" xfId="6" applyFont="1" applyAlignment="1">
      <alignment horizontal="left" vertical="center" wrapText="1"/>
    </xf>
    <xf numFmtId="0" fontId="51" fillId="0" borderId="0" xfId="0" applyFont="1" applyAlignment="1">
      <alignment horizontal="left" vertical="center" wrapText="1"/>
    </xf>
    <xf numFmtId="0" fontId="56" fillId="0" borderId="16" xfId="0" applyFont="1" applyBorder="1" applyAlignment="1">
      <alignment horizontal="left" vertical="center"/>
    </xf>
    <xf numFmtId="0" fontId="49" fillId="0" borderId="1" xfId="0" applyFont="1" applyBorder="1" applyAlignment="1">
      <alignment horizontal="left" vertical="center"/>
    </xf>
    <xf numFmtId="0" fontId="52" fillId="0" borderId="1" xfId="0" applyFont="1" applyBorder="1" applyAlignment="1">
      <alignment horizontal="right"/>
    </xf>
    <xf numFmtId="4" fontId="47" fillId="2" borderId="1" xfId="0" applyNumberFormat="1" applyFont="1" applyFill="1" applyBorder="1"/>
    <xf numFmtId="164" fontId="47" fillId="2" borderId="1" xfId="1" applyFont="1" applyFill="1" applyBorder="1" applyProtection="1"/>
    <xf numFmtId="4" fontId="47" fillId="2" borderId="10" xfId="0" applyNumberFormat="1" applyFont="1" applyFill="1" applyBorder="1"/>
    <xf numFmtId="0" fontId="53" fillId="0" borderId="13" xfId="0" applyFont="1" applyBorder="1" applyAlignment="1">
      <alignment horizontal="center" vertical="center" wrapText="1"/>
    </xf>
    <xf numFmtId="0" fontId="14" fillId="0" borderId="1" xfId="0" applyFont="1" applyBorder="1" applyAlignment="1">
      <alignment horizontal="center"/>
    </xf>
    <xf numFmtId="4" fontId="11" fillId="2" borderId="1" xfId="0" applyNumberFormat="1" applyFont="1" applyFill="1" applyBorder="1" applyAlignment="1">
      <alignment horizontal="center"/>
    </xf>
    <xf numFmtId="0" fontId="51" fillId="0" borderId="1" xfId="0" applyFont="1" applyBorder="1" applyAlignment="1">
      <alignment horizontal="right" vertical="center" wrapText="1"/>
    </xf>
    <xf numFmtId="2" fontId="47" fillId="2" borderId="1" xfId="0" applyNumberFormat="1" applyFont="1" applyFill="1" applyBorder="1" applyAlignment="1">
      <alignment horizontal="center"/>
    </xf>
    <xf numFmtId="0" fontId="52" fillId="0" borderId="1" xfId="0" applyFont="1" applyBorder="1" applyAlignment="1">
      <alignment horizontal="center" vertical="center" wrapText="1"/>
    </xf>
    <xf numFmtId="0" fontId="52" fillId="0" borderId="13" xfId="0" applyFont="1" applyBorder="1" applyAlignment="1">
      <alignment horizontal="center" vertical="center" wrapText="1"/>
    </xf>
    <xf numFmtId="4" fontId="47" fillId="2" borderId="10" xfId="0" applyNumberFormat="1" applyFont="1" applyFill="1" applyBorder="1" applyAlignment="1">
      <alignment horizontal="center"/>
    </xf>
    <xf numFmtId="165" fontId="47" fillId="2" borderId="1" xfId="0" applyNumberFormat="1" applyFont="1" applyFill="1" applyBorder="1" applyAlignment="1">
      <alignment horizontal="center"/>
    </xf>
    <xf numFmtId="0" fontId="39" fillId="0" borderId="1" xfId="0" applyFont="1" applyBorder="1" applyAlignment="1">
      <alignment vertical="center" wrapText="1"/>
    </xf>
    <xf numFmtId="0" fontId="43" fillId="6"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0" xfId="0" applyFont="1" applyBorder="1" applyAlignment="1">
      <alignment horizontal="left" vertical="center" wrapText="1"/>
    </xf>
    <xf numFmtId="0" fontId="37" fillId="0" borderId="1" xfId="0" applyFont="1" applyBorder="1" applyAlignment="1">
      <alignment horizontal="left" vertical="center" wrapText="1"/>
    </xf>
    <xf numFmtId="0" fontId="49" fillId="0" borderId="15" xfId="0" applyFont="1" applyBorder="1" applyAlignment="1">
      <alignment horizontal="left" vertical="center" wrapText="1"/>
    </xf>
    <xf numFmtId="0" fontId="43" fillId="5" borderId="1" xfId="0" applyFont="1" applyFill="1" applyBorder="1" applyAlignment="1">
      <alignment horizontal="center" vertical="center" wrapText="1"/>
    </xf>
    <xf numFmtId="0" fontId="48" fillId="0" borderId="0" xfId="0" applyFont="1" applyAlignment="1">
      <alignment horizontal="left" vertical="center"/>
    </xf>
    <xf numFmtId="0" fontId="39" fillId="0" borderId="1" xfId="0" applyFont="1" applyBorder="1" applyAlignment="1">
      <alignment horizontal="left" vertical="center" wrapText="1"/>
    </xf>
    <xf numFmtId="0" fontId="43" fillId="3" borderId="1" xfId="0" applyFont="1" applyFill="1" applyBorder="1" applyAlignment="1">
      <alignment horizontal="center" vertical="center" wrapText="1"/>
    </xf>
    <xf numFmtId="0" fontId="0" fillId="0" borderId="0" xfId="0" applyAlignment="1">
      <alignment horizontal="center" vertical="center" wrapText="1"/>
    </xf>
    <xf numFmtId="0" fontId="46" fillId="0" borderId="0" xfId="0" applyFont="1" applyAlignment="1">
      <alignment horizontal="center"/>
    </xf>
    <xf numFmtId="0" fontId="38" fillId="0" borderId="0" xfId="0" applyFont="1" applyAlignment="1">
      <alignment horizontal="left"/>
    </xf>
    <xf numFmtId="0" fontId="39" fillId="0" borderId="0" xfId="0" applyFont="1" applyAlignment="1">
      <alignment horizontal="center" vertical="center" wrapText="1"/>
    </xf>
    <xf numFmtId="0" fontId="0" fillId="0" borderId="1" xfId="0" applyBorder="1" applyAlignment="1">
      <alignment horizontal="center"/>
    </xf>
    <xf numFmtId="0" fontId="27" fillId="0" borderId="1" xfId="6" applyFont="1" applyBorder="1" applyAlignment="1">
      <alignment horizontal="center" vertical="center" wrapText="1"/>
    </xf>
    <xf numFmtId="0" fontId="27" fillId="0" borderId="14" xfId="6" applyFont="1" applyBorder="1" applyAlignment="1">
      <alignment horizontal="center" vertical="center" wrapText="1"/>
    </xf>
    <xf numFmtId="0" fontId="26" fillId="0" borderId="1" xfId="0" applyFont="1" applyBorder="1" applyAlignment="1">
      <alignment horizontal="right"/>
    </xf>
    <xf numFmtId="0" fontId="34" fillId="0" borderId="1" xfId="0" applyFont="1" applyBorder="1" applyAlignment="1">
      <alignment horizontal="center" vertical="center" wrapText="1"/>
    </xf>
    <xf numFmtId="0" fontId="38" fillId="5" borderId="1" xfId="0" applyFont="1" applyFill="1" applyBorder="1" applyAlignment="1">
      <alignment horizontal="center" vertical="center" wrapText="1"/>
    </xf>
    <xf numFmtId="0" fontId="27" fillId="0" borderId="1" xfId="6" applyFont="1" applyBorder="1" applyAlignment="1">
      <alignment horizontal="right" vertical="center" wrapText="1"/>
    </xf>
    <xf numFmtId="14" fontId="28" fillId="0" borderId="13" xfId="0" applyNumberFormat="1" applyFont="1" applyBorder="1" applyAlignment="1">
      <alignment horizontal="center" vertical="center" wrapText="1"/>
    </xf>
    <xf numFmtId="0" fontId="31" fillId="2" borderId="7" xfId="6" applyFont="1" applyFill="1" applyBorder="1" applyAlignment="1">
      <alignment horizontal="center" vertical="center" wrapText="1"/>
    </xf>
    <xf numFmtId="3" fontId="27" fillId="0" borderId="1" xfId="6" applyNumberFormat="1" applyFont="1" applyBorder="1" applyAlignment="1">
      <alignment horizontal="center"/>
    </xf>
    <xf numFmtId="0" fontId="25" fillId="0" borderId="1" xfId="0" applyFont="1" applyBorder="1" applyAlignment="1">
      <alignment horizontal="center"/>
    </xf>
    <xf numFmtId="0" fontId="27" fillId="0" borderId="1" xfId="6" applyFont="1" applyBorder="1" applyAlignment="1">
      <alignment horizontal="center"/>
    </xf>
    <xf numFmtId="0" fontId="28" fillId="0" borderId="1" xfId="6" applyFont="1" applyBorder="1" applyAlignment="1">
      <alignment horizontal="center"/>
    </xf>
    <xf numFmtId="0" fontId="27" fillId="0" borderId="1" xfId="0" applyFont="1" applyBorder="1" applyAlignment="1">
      <alignment horizontal="left"/>
    </xf>
    <xf numFmtId="0" fontId="24" fillId="0" borderId="11" xfId="6" applyFont="1" applyBorder="1" applyAlignment="1">
      <alignment horizontal="center"/>
    </xf>
    <xf numFmtId="0" fontId="26" fillId="0" borderId="1" xfId="6" applyFont="1" applyBorder="1" applyAlignment="1">
      <alignment horizontal="center"/>
    </xf>
    <xf numFmtId="0" fontId="26" fillId="0" borderId="10" xfId="6" applyFont="1" applyBorder="1" applyAlignment="1">
      <alignment horizontal="center"/>
    </xf>
    <xf numFmtId="1" fontId="28" fillId="0" borderId="1" xfId="6" applyNumberFormat="1" applyFont="1" applyBorder="1" applyAlignment="1">
      <alignment horizontal="center"/>
    </xf>
    <xf numFmtId="0" fontId="53" fillId="0" borderId="1" xfId="0" applyFont="1" applyBorder="1" applyAlignment="1">
      <alignment horizontal="right"/>
    </xf>
    <xf numFmtId="4" fontId="54" fillId="0" borderId="1" xfId="0" applyNumberFormat="1" applyFont="1" applyBorder="1" applyAlignment="1">
      <alignment horizontal="center"/>
    </xf>
    <xf numFmtId="169" fontId="54" fillId="0" borderId="1" xfId="0" applyNumberFormat="1" applyFont="1" applyBorder="1" applyAlignment="1">
      <alignment horizontal="center"/>
    </xf>
    <xf numFmtId="0" fontId="53" fillId="0" borderId="1" xfId="0" applyFont="1" applyBorder="1" applyAlignment="1">
      <alignment horizontal="center" vertical="center" wrapText="1"/>
    </xf>
    <xf numFmtId="0" fontId="10" fillId="0" borderId="1" xfId="0" applyFont="1" applyBorder="1" applyAlignment="1">
      <alignment horizontal="right" vertical="center" wrapText="1"/>
    </xf>
    <xf numFmtId="4" fontId="57" fillId="0" borderId="1" xfId="0" applyNumberFormat="1" applyFont="1" applyBorder="1" applyAlignment="1">
      <alignment horizontal="center" vertical="center" wrapText="1"/>
    </xf>
    <xf numFmtId="0" fontId="2" fillId="0" borderId="1" xfId="0" applyFont="1" applyBorder="1" applyAlignment="1">
      <alignment horizontal="right" vertical="center" wrapText="1"/>
    </xf>
    <xf numFmtId="0" fontId="2" fillId="0" borderId="13" xfId="0" applyFont="1" applyBorder="1" applyAlignment="1">
      <alignment horizontal="center" vertical="center" wrapText="1"/>
    </xf>
    <xf numFmtId="0" fontId="3" fillId="0" borderId="0" xfId="0" applyFont="1" applyAlignment="1">
      <alignment horizontal="center"/>
    </xf>
    <xf numFmtId="4" fontId="53" fillId="0" borderId="10" xfId="0" applyNumberFormat="1" applyFont="1" applyBorder="1" applyAlignment="1">
      <alignment horizontal="center" vertical="center" wrapText="1"/>
    </xf>
    <xf numFmtId="165" fontId="53" fillId="0" borderId="1" xfId="0" applyNumberFormat="1" applyFont="1" applyBorder="1" applyAlignment="1">
      <alignment horizontal="center" vertical="center" wrapText="1"/>
    </xf>
    <xf numFmtId="0" fontId="37"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37" fillId="0" borderId="1" xfId="0" applyFont="1" applyBorder="1" applyAlignment="1">
      <alignment vertical="center" wrapText="1"/>
    </xf>
    <xf numFmtId="0" fontId="66" fillId="3" borderId="9" xfId="0" applyFont="1" applyFill="1" applyBorder="1" applyAlignment="1">
      <alignment horizontal="center" vertical="center" wrapText="1"/>
    </xf>
    <xf numFmtId="0" fontId="60" fillId="0" borderId="9" xfId="0" applyFont="1" applyBorder="1" applyAlignment="1">
      <alignment horizontal="center" vertical="center" wrapText="1"/>
    </xf>
    <xf numFmtId="0" fontId="39" fillId="0" borderId="0" xfId="0" applyFont="1" applyAlignment="1">
      <alignment horizontal="left" vertical="center"/>
    </xf>
    <xf numFmtId="0" fontId="66" fillId="6" borderId="4" xfId="0" applyFont="1" applyFill="1" applyBorder="1" applyAlignment="1">
      <alignment horizontal="center" vertical="center" wrapText="1"/>
    </xf>
    <xf numFmtId="0" fontId="65" fillId="0" borderId="0" xfId="0" applyFont="1" applyAlignment="1">
      <alignment horizontal="left"/>
    </xf>
    <xf numFmtId="0" fontId="37" fillId="0" borderId="15" xfId="0" applyFont="1" applyBorder="1" applyAlignment="1">
      <alignment horizontal="center" vertical="center" wrapText="1"/>
    </xf>
    <xf numFmtId="0" fontId="47" fillId="0" borderId="0" xfId="0" applyFont="1" applyAlignment="1">
      <alignment horizontal="center"/>
    </xf>
    <xf numFmtId="0" fontId="28" fillId="0" borderId="1" xfId="0" applyFont="1" applyBorder="1" applyAlignment="1">
      <alignment horizontal="left" vertical="center" wrapText="1"/>
    </xf>
    <xf numFmtId="0" fontId="28" fillId="0" borderId="1" xfId="0" applyFont="1" applyBorder="1" applyAlignment="1">
      <alignment horizontal="center" vertical="center" wrapText="1"/>
    </xf>
    <xf numFmtId="0" fontId="63" fillId="3" borderId="15" xfId="0" applyFont="1" applyFill="1" applyBorder="1" applyAlignment="1">
      <alignment horizontal="center" vertical="center" wrapText="1"/>
    </xf>
    <xf numFmtId="0" fontId="25" fillId="0" borderId="0" xfId="0" applyFont="1" applyAlignment="1">
      <alignment horizontal="center" vertical="center" wrapText="1"/>
    </xf>
    <xf numFmtId="0" fontId="43" fillId="0" borderId="0" xfId="0" applyFont="1" applyAlignment="1">
      <alignment horizontal="center"/>
    </xf>
    <xf numFmtId="0" fontId="3" fillId="0" borderId="15" xfId="0" applyFont="1" applyBorder="1" applyAlignment="1">
      <alignment horizontal="center"/>
    </xf>
    <xf numFmtId="0" fontId="26" fillId="0" borderId="0" xfId="0" applyFont="1" applyAlignment="1">
      <alignment horizontal="center"/>
    </xf>
    <xf numFmtId="0" fontId="31" fillId="2" borderId="1" xfId="6" applyFont="1" applyFill="1" applyBorder="1" applyAlignment="1">
      <alignment horizontal="center" vertical="center" wrapText="1"/>
    </xf>
    <xf numFmtId="166" fontId="60" fillId="0" borderId="9" xfId="2" applyFont="1" applyBorder="1" applyAlignment="1" applyProtection="1">
      <alignment horizontal="center" vertical="center" wrapText="1"/>
    </xf>
    <xf numFmtId="0" fontId="62" fillId="5" borderId="9" xfId="0" applyFont="1" applyFill="1" applyBorder="1" applyAlignment="1">
      <alignment horizontal="center" vertical="center" wrapText="1"/>
    </xf>
    <xf numFmtId="0" fontId="3" fillId="0" borderId="1" xfId="0" applyFont="1" applyBorder="1" applyAlignment="1">
      <alignment horizontal="center"/>
    </xf>
    <xf numFmtId="3" fontId="27" fillId="0" borderId="15" xfId="6" applyNumberFormat="1" applyFont="1" applyBorder="1" applyAlignment="1">
      <alignment horizontal="center"/>
    </xf>
    <xf numFmtId="0" fontId="27" fillId="0" borderId="15" xfId="6" applyFont="1" applyBorder="1" applyAlignment="1">
      <alignment horizontal="center"/>
    </xf>
    <xf numFmtId="0" fontId="28" fillId="0" borderId="15" xfId="6" applyFont="1" applyBorder="1" applyAlignment="1">
      <alignment horizontal="center"/>
    </xf>
    <xf numFmtId="0" fontId="6" fillId="0" borderId="1" xfId="0" applyFont="1" applyBorder="1" applyAlignment="1">
      <alignment horizontal="left"/>
    </xf>
    <xf numFmtId="164" fontId="71" fillId="0" borderId="1" xfId="1" applyFont="1" applyBorder="1" applyProtection="1"/>
    <xf numFmtId="164" fontId="3" fillId="0" borderId="1" xfId="1" applyFont="1" applyBorder="1" applyAlignment="1" applyProtection="1">
      <alignment horizontal="center"/>
    </xf>
    <xf numFmtId="0" fontId="3" fillId="0" borderId="1" xfId="0" applyFont="1" applyBorder="1" applyAlignment="1">
      <alignment horizontal="center" vertical="center" wrapText="1"/>
    </xf>
    <xf numFmtId="0" fontId="0" fillId="0" borderId="10" xfId="0" applyBorder="1" applyAlignment="1">
      <alignment horizontal="center" vertical="center" wrapText="1"/>
    </xf>
    <xf numFmtId="0" fontId="2"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5" fillId="0" borderId="1" xfId="0" applyFont="1" applyBorder="1" applyAlignment="1">
      <alignment horizontal="center"/>
    </xf>
    <xf numFmtId="0" fontId="3" fillId="0" borderId="0" xfId="0" applyFont="1" applyAlignment="1">
      <alignment horizontal="center" wrapText="1"/>
    </xf>
    <xf numFmtId="0" fontId="2" fillId="0" borderId="12" xfId="0" applyFont="1" applyBorder="1" applyAlignment="1">
      <alignment horizontal="center" vertical="center" wrapText="1"/>
    </xf>
    <xf numFmtId="176" fontId="27" fillId="0" borderId="0" xfId="1" applyNumberFormat="1" applyFont="1" applyBorder="1" applyAlignment="1" applyProtection="1">
      <alignment horizontal="center" vertical="center" wrapText="1"/>
    </xf>
    <xf numFmtId="176" fontId="27" fillId="0" borderId="1" xfId="1" applyNumberFormat="1" applyFont="1" applyBorder="1" applyAlignment="1" applyProtection="1">
      <alignment horizontal="center" vertical="center" wrapText="1"/>
    </xf>
    <xf numFmtId="0" fontId="2" fillId="9" borderId="1" xfId="0" applyFont="1" applyFill="1" applyBorder="1" applyAlignment="1">
      <alignment horizontal="center" vertical="center" wrapText="1"/>
    </xf>
    <xf numFmtId="0" fontId="2" fillId="9" borderId="1" xfId="0" applyFont="1" applyFill="1" applyBorder="1" applyAlignment="1">
      <alignment horizontal="center" vertical="center"/>
    </xf>
    <xf numFmtId="0" fontId="54" fillId="0" borderId="1" xfId="0" applyFont="1" applyBorder="1" applyAlignment="1">
      <alignment horizontal="center"/>
    </xf>
    <xf numFmtId="0" fontId="3" fillId="0" borderId="0" xfId="0" applyFont="1" applyAlignment="1">
      <alignment horizontal="center" vertical="center" wrapText="1"/>
    </xf>
    <xf numFmtId="0" fontId="37" fillId="0" borderId="1" xfId="0" applyFont="1" applyBorder="1" applyAlignment="1">
      <alignment horizontal="left" vertical="center"/>
    </xf>
    <xf numFmtId="171"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28" fillId="0" borderId="1" xfId="0" applyFont="1" applyBorder="1" applyAlignment="1">
      <alignment vertical="center" wrapText="1"/>
    </xf>
    <xf numFmtId="164" fontId="30" fillId="0" borderId="1" xfId="1" applyFont="1" applyBorder="1" applyAlignment="1" applyProtection="1">
      <alignment horizontal="center" vertical="center" wrapText="1"/>
    </xf>
    <xf numFmtId="0" fontId="37" fillId="0" borderId="1" xfId="0" applyFont="1" applyBorder="1" applyAlignment="1">
      <alignment vertical="center"/>
    </xf>
    <xf numFmtId="0" fontId="28" fillId="2" borderId="1" xfId="0" applyFont="1" applyFill="1" applyBorder="1" applyAlignment="1">
      <alignment horizontal="center" vertical="center" wrapText="1"/>
    </xf>
    <xf numFmtId="0" fontId="37" fillId="2" borderId="1" xfId="0" applyFont="1" applyFill="1" applyBorder="1" applyAlignment="1">
      <alignment horizontal="center" vertical="center"/>
    </xf>
    <xf numFmtId="0" fontId="24" fillId="0" borderId="1" xfId="0" applyFont="1" applyBorder="1" applyAlignment="1">
      <alignment horizontal="center" vertical="center"/>
    </xf>
    <xf numFmtId="0" fontId="49" fillId="0" borderId="15" xfId="0" applyFont="1" applyBorder="1" applyAlignment="1">
      <alignment vertical="center" wrapText="1"/>
    </xf>
    <xf numFmtId="0" fontId="3" fillId="2" borderId="1" xfId="0" applyFont="1" applyFill="1" applyBorder="1" applyAlignment="1">
      <alignment horizontal="center"/>
    </xf>
    <xf numFmtId="0" fontId="49" fillId="0" borderId="1" xfId="0" applyFont="1" applyBorder="1" applyAlignment="1">
      <alignment vertical="center" wrapText="1"/>
    </xf>
    <xf numFmtId="0" fontId="61" fillId="0" borderId="1" xfId="0" applyFont="1" applyBorder="1" applyAlignment="1">
      <alignment horizontal="left" vertical="center"/>
    </xf>
    <xf numFmtId="0" fontId="2" fillId="2" borderId="2" xfId="0" applyFont="1" applyFill="1" applyBorder="1" applyAlignment="1">
      <alignment horizontal="center"/>
    </xf>
    <xf numFmtId="0" fontId="68" fillId="2" borderId="1" xfId="0" applyFont="1" applyFill="1" applyBorder="1" applyAlignment="1">
      <alignment horizontal="center"/>
    </xf>
    <xf numFmtId="0" fontId="80" fillId="0" borderId="0" xfId="0" applyFont="1" applyAlignment="1">
      <alignment horizontal="center" vertical="center" wrapText="1"/>
    </xf>
    <xf numFmtId="0" fontId="28" fillId="0" borderId="1" xfId="0" applyFont="1" applyBorder="1" applyAlignment="1">
      <alignment horizontal="left" vertical="center" wrapText="1" indent="1"/>
    </xf>
    <xf numFmtId="0" fontId="63" fillId="2" borderId="1" xfId="0" applyFont="1" applyFill="1" applyBorder="1" applyAlignment="1">
      <alignment horizontal="center" vertical="center"/>
    </xf>
    <xf numFmtId="0" fontId="79" fillId="0" borderId="1" xfId="0" applyFont="1" applyBorder="1" applyAlignment="1">
      <alignment horizontal="center" vertical="center"/>
    </xf>
    <xf numFmtId="0" fontId="79" fillId="0" borderId="1" xfId="0" applyFont="1" applyBorder="1" applyAlignment="1">
      <alignment horizontal="left" vertical="center"/>
    </xf>
    <xf numFmtId="0" fontId="49" fillId="0" borderId="15" xfId="0" applyFont="1" applyBorder="1" applyAlignment="1">
      <alignment horizontal="center" vertical="center" wrapText="1"/>
    </xf>
    <xf numFmtId="0" fontId="3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0" fillId="0" borderId="1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164" fontId="3" fillId="0" borderId="0" xfId="1" applyFont="1" applyBorder="1" applyAlignment="1" applyProtection="1">
      <alignment horizontal="center" vertical="center" wrapText="1"/>
    </xf>
    <xf numFmtId="0" fontId="3" fillId="0" borderId="13" xfId="0" applyFont="1" applyBorder="1" applyAlignment="1">
      <alignment horizontal="center" vertical="center" wrapText="1"/>
    </xf>
    <xf numFmtId="0" fontId="3" fillId="0" borderId="1" xfId="0" applyFont="1" applyBorder="1" applyAlignment="1">
      <alignment horizontal="left"/>
    </xf>
    <xf numFmtId="0" fontId="86" fillId="9" borderId="16" xfId="0" applyFont="1" applyFill="1" applyBorder="1" applyAlignment="1">
      <alignment horizontal="center" vertical="center" wrapText="1"/>
    </xf>
    <xf numFmtId="0" fontId="3" fillId="0" borderId="16" xfId="0" applyFont="1" applyBorder="1" applyAlignment="1">
      <alignment horizontal="center" vertical="center" wrapText="1"/>
    </xf>
    <xf numFmtId="164" fontId="3" fillId="0" borderId="7" xfId="1" applyFont="1" applyBorder="1" applyAlignment="1" applyProtection="1">
      <alignment horizontal="center" vertical="center" wrapText="1"/>
    </xf>
    <xf numFmtId="0" fontId="87" fillId="10" borderId="5" xfId="0" applyFont="1" applyFill="1" applyBorder="1" applyAlignment="1">
      <alignment horizontal="center"/>
    </xf>
    <xf numFmtId="0" fontId="86" fillId="9" borderId="0" xfId="0" applyFont="1" applyFill="1" applyAlignment="1" applyProtection="1">
      <alignment horizontal="center" vertical="center" wrapText="1"/>
      <protection locked="0"/>
    </xf>
    <xf numFmtId="0" fontId="87" fillId="10" borderId="8" xfId="0" applyFont="1" applyFill="1" applyBorder="1" applyAlignment="1" applyProtection="1">
      <alignment horizontal="center" vertical="center" wrapText="1"/>
      <protection locked="0"/>
    </xf>
    <xf numFmtId="164" fontId="3" fillId="0" borderId="13" xfId="0" applyNumberFormat="1" applyFont="1" applyBorder="1" applyAlignment="1">
      <alignment horizontal="center" vertical="center" wrapText="1"/>
    </xf>
    <xf numFmtId="0" fontId="87" fillId="9" borderId="16" xfId="0" applyFont="1" applyFill="1" applyBorder="1" applyAlignment="1">
      <alignment horizontal="center" vertical="center" wrapText="1"/>
    </xf>
    <xf numFmtId="0" fontId="78" fillId="9" borderId="8" xfId="0" applyFont="1" applyFill="1" applyBorder="1" applyAlignment="1">
      <alignment horizontal="center" vertical="center"/>
    </xf>
    <xf numFmtId="0" fontId="7" fillId="0" borderId="1" xfId="0" applyFont="1" applyBorder="1" applyAlignment="1">
      <alignment horizontal="center"/>
    </xf>
    <xf numFmtId="0" fontId="10" fillId="0" borderId="8" xfId="0" applyFont="1" applyBorder="1" applyAlignment="1">
      <alignment horizontal="center" vertical="center"/>
    </xf>
    <xf numFmtId="0" fontId="7" fillId="0" borderId="0" xfId="0" applyFont="1" applyAlignment="1">
      <alignment horizontal="center"/>
    </xf>
    <xf numFmtId="0" fontId="103" fillId="0" borderId="10" xfId="5" applyBorder="1" applyAlignment="1">
      <alignment horizontal="center"/>
    </xf>
    <xf numFmtId="0" fontId="91" fillId="10" borderId="0" xfId="5" applyFont="1" applyFill="1" applyAlignment="1">
      <alignment horizontal="center" vertical="center" wrapText="1"/>
    </xf>
    <xf numFmtId="2" fontId="93" fillId="0" borderId="1" xfId="5" applyNumberFormat="1" applyFont="1" applyBorder="1" applyAlignment="1">
      <alignment horizontal="center" vertical="center" wrapText="1"/>
    </xf>
    <xf numFmtId="0" fontId="0" fillId="0" borderId="5" xfId="0" applyBorder="1" applyAlignment="1">
      <alignment horizontal="center" vertical="center" wrapText="1"/>
    </xf>
    <xf numFmtId="0" fontId="89" fillId="2" borderId="1"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88" fillId="11" borderId="1" xfId="0" applyFont="1" applyFill="1" applyBorder="1" applyAlignment="1">
      <alignment horizontal="center" vertical="center" wrapText="1"/>
    </xf>
    <xf numFmtId="0" fontId="77" fillId="4" borderId="1" xfId="0" applyFont="1" applyFill="1" applyBorder="1" applyAlignment="1">
      <alignment horizontal="center" vertical="center"/>
    </xf>
    <xf numFmtId="0" fontId="0" fillId="2" borderId="1" xfId="0" applyFill="1" applyBorder="1" applyAlignment="1">
      <alignment horizontal="center" vertical="center" wrapText="1"/>
    </xf>
    <xf numFmtId="0" fontId="76" fillId="2" borderId="13" xfId="0" applyFont="1" applyFill="1" applyBorder="1" applyAlignment="1">
      <alignment horizontal="center" vertical="center" wrapText="1"/>
    </xf>
    <xf numFmtId="0" fontId="100" fillId="2" borderId="0" xfId="5" applyFont="1" applyFill="1" applyAlignment="1">
      <alignment horizontal="center" vertical="center" wrapText="1"/>
    </xf>
    <xf numFmtId="0" fontId="0" fillId="0" borderId="6" xfId="0" applyBorder="1" applyAlignment="1">
      <alignment horizontal="center" vertical="center" wrapText="1"/>
    </xf>
    <xf numFmtId="0" fontId="103" fillId="0" borderId="1" xfId="5" applyBorder="1" applyAlignment="1">
      <alignment horizontal="center"/>
    </xf>
    <xf numFmtId="0" fontId="99" fillId="11" borderId="1" xfId="0" applyFont="1" applyFill="1" applyBorder="1" applyAlignment="1">
      <alignment horizontal="center" vertical="center" wrapText="1"/>
    </xf>
    <xf numFmtId="2" fontId="7" fillId="0" borderId="1" xfId="5" applyNumberFormat="1" applyFont="1" applyBorder="1" applyAlignment="1">
      <alignment horizontal="center" vertical="center" wrapText="1"/>
    </xf>
    <xf numFmtId="0" fontId="70" fillId="0" borderId="1" xfId="5" applyFont="1" applyBorder="1" applyAlignment="1">
      <alignment horizontal="center" vertical="center" wrapText="1"/>
    </xf>
    <xf numFmtId="0" fontId="70" fillId="0" borderId="1" xfId="0" applyFont="1" applyBorder="1" applyAlignment="1">
      <alignment horizontal="center" vertical="center" wrapText="1"/>
    </xf>
    <xf numFmtId="0" fontId="86" fillId="4" borderId="1" xfId="0" applyFont="1" applyFill="1" applyBorder="1" applyAlignment="1">
      <alignment horizontal="center" vertical="center" wrapText="1"/>
    </xf>
    <xf numFmtId="0" fontId="102" fillId="9" borderId="0" xfId="5" applyFont="1" applyFill="1" applyAlignment="1">
      <alignment horizontal="center" vertical="center" wrapText="1"/>
    </xf>
    <xf numFmtId="2" fontId="94" fillId="0" borderId="1" xfId="5" applyNumberFormat="1" applyFont="1" applyBorder="1" applyAlignment="1">
      <alignment horizontal="center" vertical="center" wrapText="1"/>
    </xf>
    <xf numFmtId="164" fontId="3" fillId="0" borderId="0" xfId="1" applyFont="1" applyBorder="1" applyAlignment="1" applyProtection="1">
      <alignment vertical="center" wrapText="1"/>
    </xf>
    <xf numFmtId="0" fontId="3" fillId="0" borderId="15" xfId="0" applyFont="1" applyBorder="1" applyAlignment="1">
      <alignment horizontal="center" vertical="center" wrapText="1"/>
    </xf>
    <xf numFmtId="0" fontId="3" fillId="2" borderId="1" xfId="0" applyFont="1" applyFill="1" applyBorder="1" applyAlignment="1">
      <alignment horizontal="center" vertical="center" wrapText="1"/>
    </xf>
    <xf numFmtId="164" fontId="3" fillId="0" borderId="1" xfId="1" applyFont="1" applyBorder="1" applyAlignment="1" applyProtection="1">
      <alignment vertical="center" wrapText="1"/>
    </xf>
    <xf numFmtId="164" fontId="3" fillId="2" borderId="1" xfId="1" applyFont="1" applyFill="1" applyBorder="1" applyAlignment="1" applyProtection="1">
      <alignment vertical="center" wrapText="1"/>
    </xf>
    <xf numFmtId="0" fontId="3" fillId="0" borderId="1" xfId="0" applyFont="1" applyBorder="1" applyAlignment="1">
      <alignment horizontal="center" vertical="center"/>
    </xf>
    <xf numFmtId="0" fontId="6" fillId="0" borderId="1" xfId="0" applyFont="1" applyBorder="1" applyAlignment="1">
      <alignment horizontal="left" vertical="center" wrapText="1"/>
    </xf>
  </cellXfs>
  <cellStyles count="7">
    <cellStyle name="Milliers" xfId="1" builtinId="3"/>
    <cellStyle name="Milliers 2" xfId="3" xr:uid="{00000000-0005-0000-0000-000006000000}"/>
    <cellStyle name="Milliers 3" xfId="4" xr:uid="{00000000-0005-0000-0000-000007000000}"/>
    <cellStyle name="Normal" xfId="0" builtinId="0"/>
    <cellStyle name="Normal 2" xfId="5" xr:uid="{00000000-0005-0000-0000-000008000000}"/>
    <cellStyle name="Normal_LAMA" xfId="6" xr:uid="{00000000-0005-0000-0000-000009000000}"/>
    <cellStyle name="Pourcentage"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EEBF7"/>
      <rgbColor rgb="FF660066"/>
      <rgbColor rgb="FFFF8080"/>
      <rgbColor rgb="FF0066CC"/>
      <rgbColor rgb="FFBDD7EE"/>
      <rgbColor rgb="FF000080"/>
      <rgbColor rgb="FFFF00FF"/>
      <rgbColor rgb="FFFFFF00"/>
      <rgbColor rgb="FF00FFFF"/>
      <rgbColor rgb="FF800080"/>
      <rgbColor rgb="FF800000"/>
      <rgbColor rgb="FF008080"/>
      <rgbColor rgb="FF0000FF"/>
      <rgbColor rgb="FF00B0F0"/>
      <rgbColor rgb="FFCCFFFF"/>
      <rgbColor rgb="FFCCFFCC"/>
      <rgbColor rgb="FFFFFF99"/>
      <rgbColor rgb="FF9DC3E6"/>
      <rgbColor rgb="FFFF99CC"/>
      <rgbColor rgb="FFCC99FF"/>
      <rgbColor rgb="FFFFCC99"/>
      <rgbColor rgb="FF4472C4"/>
      <rgbColor rgb="FF33CCCC"/>
      <rgbColor rgb="FF92D050"/>
      <rgbColor rgb="FFFFC000"/>
      <rgbColor rgb="FFFF9900"/>
      <rgbColor rgb="FFED7D31"/>
      <rgbColor rgb="FF44546A"/>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microsoft.com/office/2017/10/relationships/person" Target="persons/person.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180720</xdr:colOff>
      <xdr:row>10</xdr:row>
      <xdr:rowOff>32760</xdr:rowOff>
    </xdr:from>
    <xdr:to>
      <xdr:col>7</xdr:col>
      <xdr:colOff>523800</xdr:colOff>
      <xdr:row>10</xdr:row>
      <xdr:rowOff>42120</xdr:rowOff>
    </xdr:to>
    <xdr:cxnSp macro="">
      <xdr:nvCxnSpPr>
        <xdr:cNvPr id="2" name="Connecteur droit avec flèche 1">
          <a:extLst>
            <a:ext uri="{FF2B5EF4-FFF2-40B4-BE49-F238E27FC236}">
              <a16:creationId xmlns:a16="http://schemas.microsoft.com/office/drawing/2014/main" id="{00000000-0008-0000-0000-000002000000}"/>
            </a:ext>
          </a:extLst>
        </xdr:cNvPr>
        <xdr:cNvCxnSpPr/>
      </xdr:nvCxnSpPr>
      <xdr:spPr>
        <a:xfrm flipV="1">
          <a:off x="2409480" y="2000160"/>
          <a:ext cx="3315240" cy="9720"/>
        </a:xfrm>
        <a:prstGeom prst="straightConnector1">
          <a:avLst/>
        </a:prstGeom>
        <a:ln w="6350">
          <a:solidFill>
            <a:srgbClr val="4472C4"/>
          </a:solidFill>
          <a:miter/>
          <a:tailEnd type="triangle" w="med" len="med"/>
        </a:ln>
      </xdr:spPr>
    </xdr:cxnSp>
    <xdr:clientData/>
  </xdr:twoCellAnchor>
  <xdr:twoCellAnchor>
    <xdr:from>
      <xdr:col>3</xdr:col>
      <xdr:colOff>142560</xdr:colOff>
      <xdr:row>10</xdr:row>
      <xdr:rowOff>204120</xdr:rowOff>
    </xdr:from>
    <xdr:to>
      <xdr:col>4</xdr:col>
      <xdr:colOff>723600</xdr:colOff>
      <xdr:row>31</xdr:row>
      <xdr:rowOff>26640</xdr:rowOff>
    </xdr:to>
    <xdr:cxnSp macro="">
      <xdr:nvCxnSpPr>
        <xdr:cNvPr id="3" name="Connecteur droit avec flèche 2">
          <a:extLst>
            <a:ext uri="{FF2B5EF4-FFF2-40B4-BE49-F238E27FC236}">
              <a16:creationId xmlns:a16="http://schemas.microsoft.com/office/drawing/2014/main" id="{00000000-0008-0000-0000-000003000000}"/>
            </a:ext>
          </a:extLst>
        </xdr:cNvPr>
        <xdr:cNvCxnSpPr/>
      </xdr:nvCxnSpPr>
      <xdr:spPr>
        <a:xfrm>
          <a:off x="2371320" y="2171520"/>
          <a:ext cx="1324440" cy="3819960"/>
        </a:xfrm>
        <a:prstGeom prst="straightConnector1">
          <a:avLst/>
        </a:prstGeom>
        <a:ln w="6350">
          <a:solidFill>
            <a:srgbClr val="4472C4"/>
          </a:solidFill>
          <a:miter/>
          <a:tailEnd type="triangle" w="med" len="med"/>
        </a:ln>
      </xdr:spPr>
    </xdr:cxnSp>
    <xdr:clientData/>
  </xdr:twoCellAnchor>
  <xdr:twoCellAnchor>
    <xdr:from>
      <xdr:col>3</xdr:col>
      <xdr:colOff>152280</xdr:colOff>
      <xdr:row>10</xdr:row>
      <xdr:rowOff>175320</xdr:rowOff>
    </xdr:from>
    <xdr:to>
      <xdr:col>7</xdr:col>
      <xdr:colOff>695160</xdr:colOff>
      <xdr:row>30</xdr:row>
      <xdr:rowOff>140760</xdr:rowOff>
    </xdr:to>
    <xdr:cxnSp macro="">
      <xdr:nvCxnSpPr>
        <xdr:cNvPr id="4" name="Connecteur droit avec flèche 3">
          <a:extLst>
            <a:ext uri="{FF2B5EF4-FFF2-40B4-BE49-F238E27FC236}">
              <a16:creationId xmlns:a16="http://schemas.microsoft.com/office/drawing/2014/main" id="{00000000-0008-0000-0000-000004000000}"/>
            </a:ext>
          </a:extLst>
        </xdr:cNvPr>
        <xdr:cNvCxnSpPr/>
      </xdr:nvCxnSpPr>
      <xdr:spPr>
        <a:xfrm>
          <a:off x="2381040" y="2142720"/>
          <a:ext cx="3515040" cy="3782160"/>
        </a:xfrm>
        <a:prstGeom prst="straightConnector1">
          <a:avLst/>
        </a:prstGeom>
        <a:ln w="6350">
          <a:solidFill>
            <a:srgbClr val="4472C4"/>
          </a:solidFill>
          <a:miter/>
          <a:tailEnd type="triangle" w="med" len="med"/>
        </a:ln>
      </xdr:spPr>
    </xdr:cxnSp>
    <xdr:clientData/>
  </xdr:twoCellAnchor>
  <xdr:twoCellAnchor>
    <xdr:from>
      <xdr:col>3</xdr:col>
      <xdr:colOff>152280</xdr:colOff>
      <xdr:row>10</xdr:row>
      <xdr:rowOff>175320</xdr:rowOff>
    </xdr:from>
    <xdr:to>
      <xdr:col>10</xdr:col>
      <xdr:colOff>685800</xdr:colOff>
      <xdr:row>31</xdr:row>
      <xdr:rowOff>45720</xdr:rowOff>
    </xdr:to>
    <xdr:cxnSp macro="">
      <xdr:nvCxnSpPr>
        <xdr:cNvPr id="5" name="Connecteur droit avec flèche 4">
          <a:extLst>
            <a:ext uri="{FF2B5EF4-FFF2-40B4-BE49-F238E27FC236}">
              <a16:creationId xmlns:a16="http://schemas.microsoft.com/office/drawing/2014/main" id="{00000000-0008-0000-0000-000005000000}"/>
            </a:ext>
          </a:extLst>
        </xdr:cNvPr>
        <xdr:cNvCxnSpPr/>
      </xdr:nvCxnSpPr>
      <xdr:spPr>
        <a:xfrm flipH="1" flipV="1">
          <a:off x="2381040" y="2142720"/>
          <a:ext cx="5734800" cy="3867840"/>
        </a:xfrm>
        <a:prstGeom prst="straightConnector1">
          <a:avLst/>
        </a:prstGeom>
        <a:ln w="6350">
          <a:solidFill>
            <a:srgbClr val="4472C4"/>
          </a:solidFill>
          <a:miter/>
          <a:tailEnd type="triangle" w="med" len="med"/>
        </a:ln>
      </xdr:spPr>
    </xdr:cxnSp>
    <xdr:clientData/>
  </xdr:twoCellAnchor>
  <xdr:twoCellAnchor>
    <xdr:from>
      <xdr:col>5</xdr:col>
      <xdr:colOff>75960</xdr:colOff>
      <xdr:row>15</xdr:row>
      <xdr:rowOff>111960</xdr:rowOff>
    </xdr:from>
    <xdr:to>
      <xdr:col>8</xdr:col>
      <xdr:colOff>733320</xdr:colOff>
      <xdr:row>27</xdr:row>
      <xdr:rowOff>36000</xdr:rowOff>
    </xdr:to>
    <xdr:cxnSp macro="">
      <xdr:nvCxnSpPr>
        <xdr:cNvPr id="6" name="Connecteur droit avec flèche 5">
          <a:extLst>
            <a:ext uri="{FF2B5EF4-FFF2-40B4-BE49-F238E27FC236}">
              <a16:creationId xmlns:a16="http://schemas.microsoft.com/office/drawing/2014/main" id="{00000000-0008-0000-0000-000006000000}"/>
            </a:ext>
          </a:extLst>
        </xdr:cNvPr>
        <xdr:cNvCxnSpPr/>
      </xdr:nvCxnSpPr>
      <xdr:spPr>
        <a:xfrm flipH="1">
          <a:off x="3790800" y="3180960"/>
          <a:ext cx="2886480" cy="2095920"/>
        </a:xfrm>
        <a:prstGeom prst="straightConnector1">
          <a:avLst/>
        </a:prstGeom>
        <a:ln w="6350">
          <a:solidFill>
            <a:srgbClr val="4472C4"/>
          </a:solidFill>
          <a:miter/>
          <a:tailEnd type="triangle" w="med" len="med"/>
        </a:ln>
      </xdr:spPr>
    </xdr:cxnSp>
    <xdr:clientData/>
  </xdr:twoCellAnchor>
  <xdr:twoCellAnchor>
    <xdr:from>
      <xdr:col>8</xdr:col>
      <xdr:colOff>75960</xdr:colOff>
      <xdr:row>15</xdr:row>
      <xdr:rowOff>131040</xdr:rowOff>
    </xdr:from>
    <xdr:to>
      <xdr:col>8</xdr:col>
      <xdr:colOff>742680</xdr:colOff>
      <xdr:row>26</xdr:row>
      <xdr:rowOff>131040</xdr:rowOff>
    </xdr:to>
    <xdr:cxnSp macro="">
      <xdr:nvCxnSpPr>
        <xdr:cNvPr id="7" name="Connecteur droit avec flèche 6">
          <a:extLst>
            <a:ext uri="{FF2B5EF4-FFF2-40B4-BE49-F238E27FC236}">
              <a16:creationId xmlns:a16="http://schemas.microsoft.com/office/drawing/2014/main" id="{00000000-0008-0000-0000-000007000000}"/>
            </a:ext>
          </a:extLst>
        </xdr:cNvPr>
        <xdr:cNvCxnSpPr/>
      </xdr:nvCxnSpPr>
      <xdr:spPr>
        <a:xfrm flipH="1">
          <a:off x="6019560" y="3200040"/>
          <a:ext cx="667080" cy="1991160"/>
        </a:xfrm>
        <a:prstGeom prst="straightConnector1">
          <a:avLst/>
        </a:prstGeom>
        <a:ln w="6350">
          <a:solidFill>
            <a:srgbClr val="4472C4"/>
          </a:solidFill>
          <a:miter/>
          <a:tailEnd type="triangle" w="med" len="med"/>
        </a:ln>
      </xdr:spPr>
    </xdr:cxnSp>
    <xdr:clientData/>
  </xdr:twoCellAnchor>
  <xdr:twoCellAnchor>
    <xdr:from>
      <xdr:col>9</xdr:col>
      <xdr:colOff>28440</xdr:colOff>
      <xdr:row>15</xdr:row>
      <xdr:rowOff>159840</xdr:rowOff>
    </xdr:from>
    <xdr:to>
      <xdr:col>10</xdr:col>
      <xdr:colOff>733320</xdr:colOff>
      <xdr:row>27</xdr:row>
      <xdr:rowOff>7560</xdr:rowOff>
    </xdr:to>
    <xdr:cxnSp macro="">
      <xdr:nvCxnSpPr>
        <xdr:cNvPr id="8" name="Connecteur droit avec flèche 7">
          <a:extLst>
            <a:ext uri="{FF2B5EF4-FFF2-40B4-BE49-F238E27FC236}">
              <a16:creationId xmlns:a16="http://schemas.microsoft.com/office/drawing/2014/main" id="{00000000-0008-0000-0000-000008000000}"/>
            </a:ext>
          </a:extLst>
        </xdr:cNvPr>
        <xdr:cNvCxnSpPr/>
      </xdr:nvCxnSpPr>
      <xdr:spPr>
        <a:xfrm>
          <a:off x="6715080" y="3228840"/>
          <a:ext cx="1448280" cy="2019600"/>
        </a:xfrm>
        <a:prstGeom prst="straightConnector1">
          <a:avLst/>
        </a:prstGeom>
        <a:ln w="6350">
          <a:solidFill>
            <a:srgbClr val="4472C4"/>
          </a:solidFill>
          <a:miter/>
          <a:tailEnd type="triangle" w="med" len="med"/>
        </a:ln>
      </xdr:spPr>
    </xdr:cxnSp>
    <xdr:clientData/>
  </xdr:twoCellAnchor>
  <xdr:twoCellAnchor>
    <xdr:from>
      <xdr:col>2</xdr:col>
      <xdr:colOff>152280</xdr:colOff>
      <xdr:row>17</xdr:row>
      <xdr:rowOff>150480</xdr:rowOff>
    </xdr:from>
    <xdr:to>
      <xdr:col>4</xdr:col>
      <xdr:colOff>637920</xdr:colOff>
      <xdr:row>22</xdr:row>
      <xdr:rowOff>16920</xdr:rowOff>
    </xdr:to>
    <xdr:cxnSp macro="">
      <xdr:nvCxnSpPr>
        <xdr:cNvPr id="9" name="Connecteur droit avec flèche 8">
          <a:extLst>
            <a:ext uri="{FF2B5EF4-FFF2-40B4-BE49-F238E27FC236}">
              <a16:creationId xmlns:a16="http://schemas.microsoft.com/office/drawing/2014/main" id="{00000000-0008-0000-0000-000009000000}"/>
            </a:ext>
          </a:extLst>
        </xdr:cNvPr>
        <xdr:cNvCxnSpPr/>
      </xdr:nvCxnSpPr>
      <xdr:spPr>
        <a:xfrm flipH="1">
          <a:off x="1638360" y="3581280"/>
          <a:ext cx="1971720" cy="771840"/>
        </a:xfrm>
        <a:prstGeom prst="straightConnector1">
          <a:avLst/>
        </a:prstGeom>
        <a:ln w="6350">
          <a:solidFill>
            <a:srgbClr val="4472C4"/>
          </a:solidFill>
          <a:miter/>
          <a:tailEnd type="triangle" w="med" len="med"/>
        </a:ln>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374400</xdr:colOff>
      <xdr:row>246</xdr:row>
      <xdr:rowOff>180720</xdr:rowOff>
    </xdr:from>
    <xdr:to>
      <xdr:col>7</xdr:col>
      <xdr:colOff>298440</xdr:colOff>
      <xdr:row>253</xdr:row>
      <xdr:rowOff>142560</xdr:rowOff>
    </xdr:to>
    <xdr:cxnSp macro="">
      <xdr:nvCxnSpPr>
        <xdr:cNvPr id="8" name="Connecteur droit avec flèche 1">
          <a:extLst>
            <a:ext uri="{FF2B5EF4-FFF2-40B4-BE49-F238E27FC236}">
              <a16:creationId xmlns:a16="http://schemas.microsoft.com/office/drawing/2014/main" id="{00000000-0008-0000-0100-000008000000}"/>
            </a:ext>
          </a:extLst>
        </xdr:cNvPr>
        <xdr:cNvCxnSpPr/>
      </xdr:nvCxnSpPr>
      <xdr:spPr>
        <a:xfrm flipH="1">
          <a:off x="5213160" y="47043720"/>
          <a:ext cx="730800" cy="1295640"/>
        </a:xfrm>
        <a:prstGeom prst="straightConnector1">
          <a:avLst/>
        </a:prstGeom>
        <a:ln w="6350">
          <a:solidFill>
            <a:srgbClr val="4472C4"/>
          </a:solidFill>
          <a:miter/>
          <a:tailEnd type="triangle" w="med" len="med"/>
        </a:ln>
      </xdr:spPr>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34560</xdr:colOff>
      <xdr:row>122</xdr:row>
      <xdr:rowOff>9360</xdr:rowOff>
    </xdr:from>
    <xdr:to>
      <xdr:col>5</xdr:col>
      <xdr:colOff>304560</xdr:colOff>
      <xdr:row>122</xdr:row>
      <xdr:rowOff>9360</xdr:rowOff>
    </xdr:to>
    <xdr:cxnSp macro="">
      <xdr:nvCxnSpPr>
        <xdr:cNvPr id="9" name="Connecteur droit avec flèche 1">
          <a:extLst>
            <a:ext uri="{FF2B5EF4-FFF2-40B4-BE49-F238E27FC236}">
              <a16:creationId xmlns:a16="http://schemas.microsoft.com/office/drawing/2014/main" id="{00000000-0008-0000-0200-000009000000}"/>
            </a:ext>
          </a:extLst>
        </xdr:cNvPr>
        <xdr:cNvCxnSpPr/>
      </xdr:nvCxnSpPr>
      <xdr:spPr>
        <a:xfrm>
          <a:off x="6871680" y="11753640"/>
          <a:ext cx="270360" cy="360"/>
        </a:xfrm>
        <a:prstGeom prst="straightConnector1">
          <a:avLst/>
        </a:prstGeom>
        <a:ln w="6350">
          <a:solidFill>
            <a:srgbClr val="4472C4"/>
          </a:solidFill>
          <a:miter/>
          <a:tailEnd type="triangle" w="med" len="med"/>
        </a:ln>
      </xdr:spPr>
    </xdr:cxnSp>
    <xdr:clientData/>
  </xdr:twoCellAnchor>
  <xdr:twoCellAnchor>
    <xdr:from>
      <xdr:col>5</xdr:col>
      <xdr:colOff>34560</xdr:colOff>
      <xdr:row>122</xdr:row>
      <xdr:rowOff>9360</xdr:rowOff>
    </xdr:from>
    <xdr:to>
      <xdr:col>5</xdr:col>
      <xdr:colOff>304560</xdr:colOff>
      <xdr:row>122</xdr:row>
      <xdr:rowOff>9360</xdr:rowOff>
    </xdr:to>
    <xdr:cxnSp macro="">
      <xdr:nvCxnSpPr>
        <xdr:cNvPr id="10" name="Connecteur droit avec flèche 2">
          <a:extLst>
            <a:ext uri="{FF2B5EF4-FFF2-40B4-BE49-F238E27FC236}">
              <a16:creationId xmlns:a16="http://schemas.microsoft.com/office/drawing/2014/main" id="{00000000-0008-0000-0200-00000A000000}"/>
            </a:ext>
          </a:extLst>
        </xdr:cNvPr>
        <xdr:cNvCxnSpPr/>
      </xdr:nvCxnSpPr>
      <xdr:spPr>
        <a:xfrm>
          <a:off x="6871680" y="11753640"/>
          <a:ext cx="270360" cy="360"/>
        </a:xfrm>
        <a:prstGeom prst="straightConnector1">
          <a:avLst/>
        </a:prstGeom>
        <a:ln w="6350">
          <a:solidFill>
            <a:srgbClr val="4472C4"/>
          </a:solidFill>
          <a:miter/>
          <a:tailEnd type="triangle" w="med" len="med"/>
        </a:ln>
      </xdr:spPr>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624840</xdr:colOff>
      <xdr:row>41</xdr:row>
      <xdr:rowOff>0</xdr:rowOff>
    </xdr:from>
    <xdr:to>
      <xdr:col>12</xdr:col>
      <xdr:colOff>129180</xdr:colOff>
      <xdr:row>62</xdr:row>
      <xdr:rowOff>0</xdr:rowOff>
    </xdr:to>
    <xdr:pic>
      <xdr:nvPicPr>
        <xdr:cNvPr id="11" name="Image 1">
          <a:extLst>
            <a:ext uri="{FF2B5EF4-FFF2-40B4-BE49-F238E27FC236}">
              <a16:creationId xmlns:a16="http://schemas.microsoft.com/office/drawing/2014/main" id="{00000000-0008-0000-0300-00000B000000}"/>
            </a:ext>
          </a:extLst>
        </xdr:cNvPr>
        <xdr:cNvPicPr/>
      </xdr:nvPicPr>
      <xdr:blipFill>
        <a:blip xmlns:r="http://schemas.openxmlformats.org/officeDocument/2006/relationships" r:embed="rId1"/>
        <a:stretch/>
      </xdr:blipFill>
      <xdr:spPr>
        <a:xfrm>
          <a:off x="624840" y="7962900"/>
          <a:ext cx="8671200" cy="4160520"/>
        </a:xfrm>
        <a:prstGeom prst="rect">
          <a:avLst/>
        </a:prstGeom>
        <a:noFill/>
        <a:ln w="0">
          <a:noFill/>
        </a:ln>
      </xdr:spPr>
    </xdr:pic>
    <xdr:clientData/>
  </xdr:twoCellAnchor>
  <xdr:twoCellAnchor editAs="oneCell">
    <xdr:from>
      <xdr:col>0</xdr:col>
      <xdr:colOff>342900</xdr:colOff>
      <xdr:row>97</xdr:row>
      <xdr:rowOff>76200</xdr:rowOff>
    </xdr:from>
    <xdr:to>
      <xdr:col>12</xdr:col>
      <xdr:colOff>502317</xdr:colOff>
      <xdr:row>124</xdr:row>
      <xdr:rowOff>0</xdr:rowOff>
    </xdr:to>
    <xdr:pic>
      <xdr:nvPicPr>
        <xdr:cNvPr id="2" name="Image 1">
          <a:extLst>
            <a:ext uri="{FF2B5EF4-FFF2-40B4-BE49-F238E27FC236}">
              <a16:creationId xmlns:a16="http://schemas.microsoft.com/office/drawing/2014/main" id="{63C0C178-E872-2013-E8ED-A00879E8A25C}"/>
            </a:ext>
          </a:extLst>
        </xdr:cNvPr>
        <xdr:cNvPicPr>
          <a:picLocks noChangeAspect="1"/>
        </xdr:cNvPicPr>
      </xdr:nvPicPr>
      <xdr:blipFill>
        <a:blip xmlns:r="http://schemas.openxmlformats.org/officeDocument/2006/relationships" r:embed="rId2"/>
        <a:stretch>
          <a:fillRect/>
        </a:stretch>
      </xdr:blipFill>
      <xdr:spPr>
        <a:xfrm>
          <a:off x="342900" y="18859500"/>
          <a:ext cx="9326277" cy="4792980"/>
        </a:xfrm>
        <a:prstGeom prst="rect">
          <a:avLst/>
        </a:prstGeom>
      </xdr:spPr>
    </xdr:pic>
    <xdr:clientData/>
  </xdr:twoCellAnchor>
  <xdr:twoCellAnchor editAs="oneCell">
    <xdr:from>
      <xdr:col>0</xdr:col>
      <xdr:colOff>0</xdr:colOff>
      <xdr:row>130</xdr:row>
      <xdr:rowOff>137160</xdr:rowOff>
    </xdr:from>
    <xdr:to>
      <xdr:col>12</xdr:col>
      <xdr:colOff>106680</xdr:colOff>
      <xdr:row>167</xdr:row>
      <xdr:rowOff>25654</xdr:rowOff>
    </xdr:to>
    <xdr:pic>
      <xdr:nvPicPr>
        <xdr:cNvPr id="3" name="Image 2">
          <a:extLst>
            <a:ext uri="{FF2B5EF4-FFF2-40B4-BE49-F238E27FC236}">
              <a16:creationId xmlns:a16="http://schemas.microsoft.com/office/drawing/2014/main" id="{B5F362D6-6C6D-E060-364E-0616D6C73818}"/>
            </a:ext>
          </a:extLst>
        </xdr:cNvPr>
        <xdr:cNvPicPr>
          <a:picLocks noChangeAspect="1"/>
        </xdr:cNvPicPr>
      </xdr:nvPicPr>
      <xdr:blipFill>
        <a:blip xmlns:r="http://schemas.openxmlformats.org/officeDocument/2006/relationships" r:embed="rId3"/>
        <a:stretch>
          <a:fillRect/>
        </a:stretch>
      </xdr:blipFill>
      <xdr:spPr>
        <a:xfrm>
          <a:off x="0" y="25107900"/>
          <a:ext cx="9273540" cy="63731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861840</xdr:colOff>
      <xdr:row>5</xdr:row>
      <xdr:rowOff>3960</xdr:rowOff>
    </xdr:from>
    <xdr:to>
      <xdr:col>1</xdr:col>
      <xdr:colOff>861840</xdr:colOff>
      <xdr:row>6</xdr:row>
      <xdr:rowOff>109440</xdr:rowOff>
    </xdr:to>
    <xdr:cxnSp macro="">
      <xdr:nvCxnSpPr>
        <xdr:cNvPr id="12" name="Connecteur droit avec flèche 1">
          <a:extLst>
            <a:ext uri="{FF2B5EF4-FFF2-40B4-BE49-F238E27FC236}">
              <a16:creationId xmlns:a16="http://schemas.microsoft.com/office/drawing/2014/main" id="{00000000-0008-0000-0700-00000C000000}"/>
            </a:ext>
          </a:extLst>
        </xdr:cNvPr>
        <xdr:cNvCxnSpPr/>
      </xdr:nvCxnSpPr>
      <xdr:spPr>
        <a:xfrm>
          <a:off x="1604880" y="909000"/>
          <a:ext cx="360" cy="286560"/>
        </a:xfrm>
        <a:prstGeom prst="straightConnector1">
          <a:avLst/>
        </a:prstGeom>
        <a:ln w="6350">
          <a:solidFill>
            <a:srgbClr val="4472C4"/>
          </a:solidFill>
          <a:miter/>
          <a:tailEnd type="triangle" w="med" len="med"/>
        </a:ln>
      </xdr:spPr>
    </xdr:cxnSp>
    <xdr:clientData/>
  </xdr:twoCellAnchor>
  <xdr:twoCellAnchor>
    <xdr:from>
      <xdr:col>5</xdr:col>
      <xdr:colOff>484560</xdr:colOff>
      <xdr:row>5</xdr:row>
      <xdr:rowOff>5760</xdr:rowOff>
    </xdr:from>
    <xdr:to>
      <xdr:col>6</xdr:col>
      <xdr:colOff>95040</xdr:colOff>
      <xdr:row>6</xdr:row>
      <xdr:rowOff>56880</xdr:rowOff>
    </xdr:to>
    <xdr:cxnSp macro="">
      <xdr:nvCxnSpPr>
        <xdr:cNvPr id="13" name="Connecteur droit avec flèche 3">
          <a:extLst>
            <a:ext uri="{FF2B5EF4-FFF2-40B4-BE49-F238E27FC236}">
              <a16:creationId xmlns:a16="http://schemas.microsoft.com/office/drawing/2014/main" id="{00000000-0008-0000-0700-00000D000000}"/>
            </a:ext>
          </a:extLst>
        </xdr:cNvPr>
        <xdr:cNvCxnSpPr/>
      </xdr:nvCxnSpPr>
      <xdr:spPr>
        <a:xfrm>
          <a:off x="6653520" y="910800"/>
          <a:ext cx="353880" cy="232200"/>
        </a:xfrm>
        <a:prstGeom prst="straightConnector1">
          <a:avLst/>
        </a:prstGeom>
        <a:ln w="6350">
          <a:solidFill>
            <a:srgbClr val="4472C4"/>
          </a:solidFill>
          <a:miter/>
          <a:tailEnd type="triangle" w="med" len="med"/>
        </a:ln>
      </xdr:spPr>
    </xdr:cxnSp>
    <xdr:clientData/>
  </xdr:twoCellAnchor>
  <xdr:twoCellAnchor>
    <xdr:from>
      <xdr:col>7</xdr:col>
      <xdr:colOff>588600</xdr:colOff>
      <xdr:row>11</xdr:row>
      <xdr:rowOff>37800</xdr:rowOff>
    </xdr:from>
    <xdr:to>
      <xdr:col>8</xdr:col>
      <xdr:colOff>190440</xdr:colOff>
      <xdr:row>12</xdr:row>
      <xdr:rowOff>318600</xdr:rowOff>
    </xdr:to>
    <xdr:cxnSp macro="">
      <xdr:nvCxnSpPr>
        <xdr:cNvPr id="14" name="Connecteur droit avec flèche 5">
          <a:extLst>
            <a:ext uri="{FF2B5EF4-FFF2-40B4-BE49-F238E27FC236}">
              <a16:creationId xmlns:a16="http://schemas.microsoft.com/office/drawing/2014/main" id="{00000000-0008-0000-0700-00000E000000}"/>
            </a:ext>
          </a:extLst>
        </xdr:cNvPr>
        <xdr:cNvCxnSpPr/>
      </xdr:nvCxnSpPr>
      <xdr:spPr>
        <a:xfrm flipH="1">
          <a:off x="8243640" y="2190600"/>
          <a:ext cx="344880" cy="604800"/>
        </a:xfrm>
        <a:prstGeom prst="straightConnector1">
          <a:avLst/>
        </a:prstGeom>
        <a:ln w="6350">
          <a:solidFill>
            <a:srgbClr val="4472C4"/>
          </a:solidFill>
          <a:miter/>
          <a:tailEnd type="triangle" w="med" len="med"/>
        </a:ln>
      </xdr:spPr>
    </xdr:cxnSp>
    <xdr:clientData/>
  </xdr:twoCellAnchor>
  <xdr:twoCellAnchor>
    <xdr:from>
      <xdr:col>8</xdr:col>
      <xdr:colOff>225000</xdr:colOff>
      <xdr:row>11</xdr:row>
      <xdr:rowOff>72360</xdr:rowOff>
    </xdr:from>
    <xdr:to>
      <xdr:col>8</xdr:col>
      <xdr:colOff>502200</xdr:colOff>
      <xdr:row>13</xdr:row>
      <xdr:rowOff>37800</xdr:rowOff>
    </xdr:to>
    <xdr:cxnSp macro="">
      <xdr:nvCxnSpPr>
        <xdr:cNvPr id="15" name="Connecteur droit avec flèche 7">
          <a:extLst>
            <a:ext uri="{FF2B5EF4-FFF2-40B4-BE49-F238E27FC236}">
              <a16:creationId xmlns:a16="http://schemas.microsoft.com/office/drawing/2014/main" id="{00000000-0008-0000-0700-00000F000000}"/>
            </a:ext>
          </a:extLst>
        </xdr:cNvPr>
        <xdr:cNvCxnSpPr/>
      </xdr:nvCxnSpPr>
      <xdr:spPr>
        <a:xfrm>
          <a:off x="8622720" y="2225160"/>
          <a:ext cx="277560" cy="613440"/>
        </a:xfrm>
        <a:prstGeom prst="straightConnector1">
          <a:avLst/>
        </a:prstGeom>
        <a:ln w="6350">
          <a:solidFill>
            <a:srgbClr val="4472C4"/>
          </a:solidFill>
          <a:miter/>
          <a:tailEnd type="triangle" w="med" len="med"/>
        </a:ln>
      </xdr:spPr>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18720</xdr:colOff>
      <xdr:row>22</xdr:row>
      <xdr:rowOff>247320</xdr:rowOff>
    </xdr:from>
    <xdr:to>
      <xdr:col>3</xdr:col>
      <xdr:colOff>199800</xdr:colOff>
      <xdr:row>24</xdr:row>
      <xdr:rowOff>180720</xdr:rowOff>
    </xdr:to>
    <xdr:cxnSp macro="">
      <xdr:nvCxnSpPr>
        <xdr:cNvPr id="16" name="Connecteur droit avec flèche 1">
          <a:extLst>
            <a:ext uri="{FF2B5EF4-FFF2-40B4-BE49-F238E27FC236}">
              <a16:creationId xmlns:a16="http://schemas.microsoft.com/office/drawing/2014/main" id="{00000000-0008-0000-1200-000010000000}"/>
            </a:ext>
          </a:extLst>
        </xdr:cNvPr>
        <xdr:cNvCxnSpPr/>
      </xdr:nvCxnSpPr>
      <xdr:spPr>
        <a:xfrm flipH="1">
          <a:off x="1216800" y="9258120"/>
          <a:ext cx="1967400" cy="752760"/>
        </a:xfrm>
        <a:prstGeom prst="straightConnector1">
          <a:avLst/>
        </a:prstGeom>
        <a:ln w="6350">
          <a:solidFill>
            <a:srgbClr val="4472C4"/>
          </a:solidFill>
          <a:miter/>
          <a:tailEnd type="triangle" w="med" len="med"/>
        </a:ln>
      </xdr:spPr>
    </xdr:cxnSp>
    <xdr:clientData/>
  </xdr:twoCellAnchor>
  <xdr:twoCellAnchor>
    <xdr:from>
      <xdr:col>1</xdr:col>
      <xdr:colOff>18720</xdr:colOff>
      <xdr:row>22</xdr:row>
      <xdr:rowOff>247320</xdr:rowOff>
    </xdr:from>
    <xdr:to>
      <xdr:col>3</xdr:col>
      <xdr:colOff>199800</xdr:colOff>
      <xdr:row>24</xdr:row>
      <xdr:rowOff>180720</xdr:rowOff>
    </xdr:to>
    <xdr:cxnSp macro="">
      <xdr:nvCxnSpPr>
        <xdr:cNvPr id="17" name="Connecteur droit avec flèche 2">
          <a:extLst>
            <a:ext uri="{FF2B5EF4-FFF2-40B4-BE49-F238E27FC236}">
              <a16:creationId xmlns:a16="http://schemas.microsoft.com/office/drawing/2014/main" id="{00000000-0008-0000-1200-000011000000}"/>
            </a:ext>
          </a:extLst>
        </xdr:cNvPr>
        <xdr:cNvCxnSpPr/>
      </xdr:nvCxnSpPr>
      <xdr:spPr>
        <a:xfrm flipH="1">
          <a:off x="1216800" y="9258120"/>
          <a:ext cx="1967400" cy="752760"/>
        </a:xfrm>
        <a:prstGeom prst="straightConnector1">
          <a:avLst/>
        </a:prstGeom>
        <a:ln w="6350">
          <a:solidFill>
            <a:srgbClr val="4472C4"/>
          </a:solidFill>
          <a:miter/>
          <a:tailEnd type="triangle" w="med" len="med"/>
        </a:ln>
      </xdr:spPr>
    </xdr:cxnSp>
    <xdr:clientData/>
  </xdr:twoCellAnchor>
  <xdr:twoCellAnchor>
    <xdr:from>
      <xdr:col>1</xdr:col>
      <xdr:colOff>18720</xdr:colOff>
      <xdr:row>22</xdr:row>
      <xdr:rowOff>247320</xdr:rowOff>
    </xdr:from>
    <xdr:to>
      <xdr:col>3</xdr:col>
      <xdr:colOff>199800</xdr:colOff>
      <xdr:row>24</xdr:row>
      <xdr:rowOff>180720</xdr:rowOff>
    </xdr:to>
    <xdr:cxnSp macro="">
      <xdr:nvCxnSpPr>
        <xdr:cNvPr id="18" name="Connecteur droit avec flèche 3">
          <a:extLst>
            <a:ext uri="{FF2B5EF4-FFF2-40B4-BE49-F238E27FC236}">
              <a16:creationId xmlns:a16="http://schemas.microsoft.com/office/drawing/2014/main" id="{00000000-0008-0000-1200-000012000000}"/>
            </a:ext>
          </a:extLst>
        </xdr:cNvPr>
        <xdr:cNvCxnSpPr/>
      </xdr:nvCxnSpPr>
      <xdr:spPr>
        <a:xfrm flipH="1">
          <a:off x="1216800" y="9258120"/>
          <a:ext cx="1967400" cy="752760"/>
        </a:xfrm>
        <a:prstGeom prst="straightConnector1">
          <a:avLst/>
        </a:prstGeom>
        <a:ln w="6350">
          <a:solidFill>
            <a:srgbClr val="4472C4"/>
          </a:solidFill>
          <a:miter/>
          <a:tailEnd type="triangle" w="med" len="med"/>
        </a:ln>
      </xdr:spPr>
    </xdr:cxnSp>
    <xdr:clientData/>
  </xdr:twoCellAnchor>
  <xdr:twoCellAnchor>
    <xdr:from>
      <xdr:col>1</xdr:col>
      <xdr:colOff>18720</xdr:colOff>
      <xdr:row>22</xdr:row>
      <xdr:rowOff>247320</xdr:rowOff>
    </xdr:from>
    <xdr:to>
      <xdr:col>3</xdr:col>
      <xdr:colOff>199800</xdr:colOff>
      <xdr:row>24</xdr:row>
      <xdr:rowOff>180720</xdr:rowOff>
    </xdr:to>
    <xdr:cxnSp macro="">
      <xdr:nvCxnSpPr>
        <xdr:cNvPr id="19" name="Connecteur droit avec flèche 4">
          <a:extLst>
            <a:ext uri="{FF2B5EF4-FFF2-40B4-BE49-F238E27FC236}">
              <a16:creationId xmlns:a16="http://schemas.microsoft.com/office/drawing/2014/main" id="{00000000-0008-0000-1200-000013000000}"/>
            </a:ext>
          </a:extLst>
        </xdr:cNvPr>
        <xdr:cNvCxnSpPr/>
      </xdr:nvCxnSpPr>
      <xdr:spPr>
        <a:xfrm flipH="1">
          <a:off x="1216800" y="9258120"/>
          <a:ext cx="1967400" cy="752760"/>
        </a:xfrm>
        <a:prstGeom prst="straightConnector1">
          <a:avLst/>
        </a:prstGeom>
        <a:ln w="6350">
          <a:solidFill>
            <a:srgbClr val="4472C4"/>
          </a:solidFill>
          <a:miter/>
          <a:tailEnd type="triangle" w="med" len="med"/>
        </a:ln>
      </xdr:spPr>
    </xdr:cxnSp>
    <xdr:clientData/>
  </xdr:twoCellAnchor>
  <xdr:twoCellAnchor>
    <xdr:from>
      <xdr:col>1</xdr:col>
      <xdr:colOff>18720</xdr:colOff>
      <xdr:row>22</xdr:row>
      <xdr:rowOff>247320</xdr:rowOff>
    </xdr:from>
    <xdr:to>
      <xdr:col>3</xdr:col>
      <xdr:colOff>199800</xdr:colOff>
      <xdr:row>24</xdr:row>
      <xdr:rowOff>180720</xdr:rowOff>
    </xdr:to>
    <xdr:cxnSp macro="">
      <xdr:nvCxnSpPr>
        <xdr:cNvPr id="20" name="Connecteur droit avec flèche 5">
          <a:extLst>
            <a:ext uri="{FF2B5EF4-FFF2-40B4-BE49-F238E27FC236}">
              <a16:creationId xmlns:a16="http://schemas.microsoft.com/office/drawing/2014/main" id="{00000000-0008-0000-1200-000014000000}"/>
            </a:ext>
          </a:extLst>
        </xdr:cNvPr>
        <xdr:cNvCxnSpPr/>
      </xdr:nvCxnSpPr>
      <xdr:spPr>
        <a:xfrm flipH="1">
          <a:off x="1216800" y="9258120"/>
          <a:ext cx="1967400" cy="752760"/>
        </a:xfrm>
        <a:prstGeom prst="straightConnector1">
          <a:avLst/>
        </a:prstGeom>
        <a:ln w="6350">
          <a:solidFill>
            <a:srgbClr val="4472C4"/>
          </a:solidFill>
          <a:miter/>
          <a:tailEnd type="triangle" w="med" len="med"/>
        </a:ln>
      </xdr:spPr>
    </xdr:cxnSp>
    <xdr:clientData/>
  </xdr:twoCellAnchor>
  <xdr:twoCellAnchor>
    <xdr:from>
      <xdr:col>1</xdr:col>
      <xdr:colOff>18720</xdr:colOff>
      <xdr:row>22</xdr:row>
      <xdr:rowOff>247320</xdr:rowOff>
    </xdr:from>
    <xdr:to>
      <xdr:col>3</xdr:col>
      <xdr:colOff>199800</xdr:colOff>
      <xdr:row>24</xdr:row>
      <xdr:rowOff>180720</xdr:rowOff>
    </xdr:to>
    <xdr:cxnSp macro="">
      <xdr:nvCxnSpPr>
        <xdr:cNvPr id="21" name="Connecteur droit avec flèche 6">
          <a:extLst>
            <a:ext uri="{FF2B5EF4-FFF2-40B4-BE49-F238E27FC236}">
              <a16:creationId xmlns:a16="http://schemas.microsoft.com/office/drawing/2014/main" id="{00000000-0008-0000-1200-000015000000}"/>
            </a:ext>
          </a:extLst>
        </xdr:cNvPr>
        <xdr:cNvCxnSpPr/>
      </xdr:nvCxnSpPr>
      <xdr:spPr>
        <a:xfrm flipH="1">
          <a:off x="1216800" y="9258120"/>
          <a:ext cx="1967400" cy="752760"/>
        </a:xfrm>
        <a:prstGeom prst="straightConnector1">
          <a:avLst/>
        </a:prstGeom>
        <a:ln w="6350">
          <a:solidFill>
            <a:srgbClr val="4472C4"/>
          </a:solidFill>
          <a:miter/>
          <a:tailEnd type="triangle" w="med" len="med"/>
        </a:ln>
      </xdr:spPr>
    </xdr:cxnSp>
    <xdr:clientData/>
  </xdr:twoCellAnchor>
  <xdr:twoCellAnchor>
    <xdr:from>
      <xdr:col>1</xdr:col>
      <xdr:colOff>18720</xdr:colOff>
      <xdr:row>22</xdr:row>
      <xdr:rowOff>247320</xdr:rowOff>
    </xdr:from>
    <xdr:to>
      <xdr:col>3</xdr:col>
      <xdr:colOff>199800</xdr:colOff>
      <xdr:row>24</xdr:row>
      <xdr:rowOff>180720</xdr:rowOff>
    </xdr:to>
    <xdr:cxnSp macro="">
      <xdr:nvCxnSpPr>
        <xdr:cNvPr id="22" name="Connecteur droit avec flèche 7">
          <a:extLst>
            <a:ext uri="{FF2B5EF4-FFF2-40B4-BE49-F238E27FC236}">
              <a16:creationId xmlns:a16="http://schemas.microsoft.com/office/drawing/2014/main" id="{00000000-0008-0000-1200-000016000000}"/>
            </a:ext>
          </a:extLst>
        </xdr:cNvPr>
        <xdr:cNvCxnSpPr/>
      </xdr:nvCxnSpPr>
      <xdr:spPr>
        <a:xfrm flipH="1">
          <a:off x="1216800" y="9258120"/>
          <a:ext cx="1967400" cy="752760"/>
        </a:xfrm>
        <a:prstGeom prst="straightConnector1">
          <a:avLst/>
        </a:prstGeom>
        <a:ln w="6350">
          <a:solidFill>
            <a:srgbClr val="4472C4"/>
          </a:solidFill>
          <a:miter/>
          <a:tailEnd type="triangle" w="med" len="med"/>
        </a:ln>
      </xdr:spPr>
    </xdr:cxnSp>
    <xdr:clientData/>
  </xdr:twoCellAnchor>
  <xdr:twoCellAnchor editAs="oneCell">
    <xdr:from>
      <xdr:col>0</xdr:col>
      <xdr:colOff>0</xdr:colOff>
      <xdr:row>29</xdr:row>
      <xdr:rowOff>47520</xdr:rowOff>
    </xdr:from>
    <xdr:to>
      <xdr:col>12</xdr:col>
      <xdr:colOff>161280</xdr:colOff>
      <xdr:row>38</xdr:row>
      <xdr:rowOff>365760</xdr:rowOff>
    </xdr:to>
    <xdr:pic>
      <xdr:nvPicPr>
        <xdr:cNvPr id="23" name="Image 8">
          <a:extLst>
            <a:ext uri="{FF2B5EF4-FFF2-40B4-BE49-F238E27FC236}">
              <a16:creationId xmlns:a16="http://schemas.microsoft.com/office/drawing/2014/main" id="{00000000-0008-0000-1200-000017000000}"/>
            </a:ext>
          </a:extLst>
        </xdr:cNvPr>
        <xdr:cNvPicPr/>
      </xdr:nvPicPr>
      <xdr:blipFill>
        <a:blip xmlns:r="http://schemas.openxmlformats.org/officeDocument/2006/relationships" r:embed="rId1"/>
        <a:stretch/>
      </xdr:blipFill>
      <xdr:spPr>
        <a:xfrm>
          <a:off x="0" y="11925360"/>
          <a:ext cx="11286360" cy="4004280"/>
        </a:xfrm>
        <a:prstGeom prst="rect">
          <a:avLst/>
        </a:prstGeom>
        <a:noFill/>
        <a:ln w="0">
          <a:noFill/>
        </a:ln>
      </xdr:spPr>
    </xdr:pic>
    <xdr:clientData/>
  </xdr:twoCellAnchor>
  <xdr:twoCellAnchor editAs="oneCell">
    <xdr:from>
      <xdr:col>1</xdr:col>
      <xdr:colOff>0</xdr:colOff>
      <xdr:row>40</xdr:row>
      <xdr:rowOff>47880</xdr:rowOff>
    </xdr:from>
    <xdr:to>
      <xdr:col>11</xdr:col>
      <xdr:colOff>736920</xdr:colOff>
      <xdr:row>52</xdr:row>
      <xdr:rowOff>33840</xdr:rowOff>
    </xdr:to>
    <xdr:pic>
      <xdr:nvPicPr>
        <xdr:cNvPr id="24" name="Image 9">
          <a:extLst>
            <a:ext uri="{FF2B5EF4-FFF2-40B4-BE49-F238E27FC236}">
              <a16:creationId xmlns:a16="http://schemas.microsoft.com/office/drawing/2014/main" id="{00000000-0008-0000-1200-000018000000}"/>
            </a:ext>
          </a:extLst>
        </xdr:cNvPr>
        <xdr:cNvPicPr/>
      </xdr:nvPicPr>
      <xdr:blipFill>
        <a:blip xmlns:r="http://schemas.openxmlformats.org/officeDocument/2006/relationships" r:embed="rId2"/>
        <a:stretch/>
      </xdr:blipFill>
      <xdr:spPr>
        <a:xfrm>
          <a:off x="1198080" y="16430760"/>
          <a:ext cx="9921240" cy="4901040"/>
        </a:xfrm>
        <a:prstGeom prst="rect">
          <a:avLst/>
        </a:prstGeom>
        <a:noFill/>
        <a:ln w="0">
          <a:noFill/>
        </a:ln>
      </xdr:spPr>
    </xdr:pic>
    <xdr:clientData/>
  </xdr:twoCellAnchor>
  <xdr:twoCellAnchor editAs="oneCell">
    <xdr:from>
      <xdr:col>1</xdr:col>
      <xdr:colOff>0</xdr:colOff>
      <xdr:row>52</xdr:row>
      <xdr:rowOff>47520</xdr:rowOff>
    </xdr:from>
    <xdr:to>
      <xdr:col>12</xdr:col>
      <xdr:colOff>11520</xdr:colOff>
      <xdr:row>65</xdr:row>
      <xdr:rowOff>302400</xdr:rowOff>
    </xdr:to>
    <xdr:pic>
      <xdr:nvPicPr>
        <xdr:cNvPr id="25" name="Image 10">
          <a:extLst>
            <a:ext uri="{FF2B5EF4-FFF2-40B4-BE49-F238E27FC236}">
              <a16:creationId xmlns:a16="http://schemas.microsoft.com/office/drawing/2014/main" id="{00000000-0008-0000-1200-000019000000}"/>
            </a:ext>
          </a:extLst>
        </xdr:cNvPr>
        <xdr:cNvPicPr/>
      </xdr:nvPicPr>
      <xdr:blipFill>
        <a:blip xmlns:r="http://schemas.openxmlformats.org/officeDocument/2006/relationships" r:embed="rId3"/>
        <a:stretch/>
      </xdr:blipFill>
      <xdr:spPr>
        <a:xfrm>
          <a:off x="1198080" y="21345480"/>
          <a:ext cx="9938520" cy="5579280"/>
        </a:xfrm>
        <a:prstGeom prst="rect">
          <a:avLst/>
        </a:prstGeom>
        <a:noFill/>
        <a:ln w="0">
          <a:noFill/>
        </a:ln>
      </xdr:spPr>
    </xdr:pic>
    <xdr:clientData/>
  </xdr:twoCellAnchor>
  <xdr:twoCellAnchor>
    <xdr:from>
      <xdr:col>4</xdr:col>
      <xdr:colOff>112320</xdr:colOff>
      <xdr:row>24</xdr:row>
      <xdr:rowOff>64080</xdr:rowOff>
    </xdr:from>
    <xdr:to>
      <xdr:col>5</xdr:col>
      <xdr:colOff>92520</xdr:colOff>
      <xdr:row>25</xdr:row>
      <xdr:rowOff>17280</xdr:rowOff>
    </xdr:to>
    <xdr:cxnSp macro="">
      <xdr:nvCxnSpPr>
        <xdr:cNvPr id="26" name="Connecteur droit avec flèche 11">
          <a:extLst>
            <a:ext uri="{FF2B5EF4-FFF2-40B4-BE49-F238E27FC236}">
              <a16:creationId xmlns:a16="http://schemas.microsoft.com/office/drawing/2014/main" id="{00000000-0008-0000-1200-00001A000000}"/>
            </a:ext>
          </a:extLst>
        </xdr:cNvPr>
        <xdr:cNvCxnSpPr/>
      </xdr:nvCxnSpPr>
      <xdr:spPr>
        <a:xfrm flipH="1">
          <a:off x="4043520" y="9893880"/>
          <a:ext cx="1100160" cy="363240"/>
        </a:xfrm>
        <a:prstGeom prst="straightConnector1">
          <a:avLst/>
        </a:prstGeom>
        <a:ln w="6350">
          <a:solidFill>
            <a:srgbClr val="4472C4"/>
          </a:solidFill>
          <a:miter/>
          <a:tailEnd type="triangle" w="med" len="med"/>
        </a:ln>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sktop/COURS%20GRETA%202018%202019/COURS%20DEFINITIFS%20PRODUITS/TR%202018/TICKETS%20RESTAURANT%202018/TR/51.GESTION%20DES%20TR%20et%20MATRI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LIRE "/>
      <sheetName val="Table des taux "/>
      <sheetName val="TABLEAU SYNTH"/>
      <sheetName val="RAPPEL LEGISLATION "/>
      <sheetName val="Feuil5"/>
      <sheetName val="SYNTHESE TR "/>
      <sheetName val="Feuil1"/>
      <sheetName val="TR EX 1 "/>
      <sheetName val="TR EX 1 SUITE "/>
      <sheetName val="TR BP 1 "/>
      <sheetName val="Feuil2"/>
      <sheetName val="Feuil3"/>
      <sheetName val="TR ex 2  "/>
      <sheetName val="TR ex 2  suite "/>
      <sheetName val="TR BP 2 "/>
      <sheetName val="TR EX  3"/>
      <sheetName val="TR EX3 SUITE "/>
      <sheetName val="TR BP 3 "/>
      <sheetName val="TR EX 4"/>
      <sheetName val="TR EX 4 SUITE "/>
      <sheetName val="TR BP 4 "/>
      <sheetName val="MATRICE COTISATIONS"/>
      <sheetName val="TR BP MATRICE "/>
      <sheetName val="MATRICE NET IMPOSABLE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sheetData sheetId="1"/>
      <sheetData sheetId="2"/>
      <sheetData sheetId="3">
        <row r="12">
          <cell r="C12">
            <v>0.3</v>
          </cell>
        </row>
        <row r="14">
          <cell r="C14">
            <v>1.6E-2</v>
          </cell>
        </row>
        <row r="35">
          <cell r="C35">
            <v>0.68</v>
          </cell>
        </row>
        <row r="37">
          <cell r="C37">
            <v>0.55000000000000004</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#VALUE!</v>
          </cell>
        </row>
      </sheetData>
      <sheetData sheetId="11"/>
      <sheetData sheetId="12"/>
      <sheetData sheetId="13">
        <row r="7">
          <cell r="B7">
            <v>4910.8</v>
          </cell>
          <cell r="C7">
            <v>3428</v>
          </cell>
        </row>
        <row r="8">
          <cell r="B8">
            <v>0</v>
          </cell>
          <cell r="C8">
            <v>0</v>
          </cell>
        </row>
        <row r="9">
          <cell r="B9" t="e">
            <v>#VALUE!</v>
          </cell>
          <cell r="C9">
            <v>0</v>
          </cell>
        </row>
        <row r="10">
          <cell r="B10" t="e">
            <v>#VALUE!</v>
          </cell>
          <cell r="C10">
            <v>0</v>
          </cell>
        </row>
        <row r="11">
          <cell r="B11" t="e">
            <v>#VALUE!</v>
          </cell>
          <cell r="C11">
            <v>0</v>
          </cell>
        </row>
        <row r="12">
          <cell r="B12" t="e">
            <v>#VALUE!</v>
          </cell>
          <cell r="C12">
            <v>0</v>
          </cell>
        </row>
        <row r="13">
          <cell r="B13" t="e">
            <v>#VALUE!</v>
          </cell>
          <cell r="C13">
            <v>0</v>
          </cell>
        </row>
        <row r="14">
          <cell r="B14" t="e">
            <v>#VALUE!</v>
          </cell>
          <cell r="C14">
            <v>0</v>
          </cell>
        </row>
        <row r="15">
          <cell r="B15" t="e">
            <v>#VALUE!</v>
          </cell>
          <cell r="C15">
            <v>0</v>
          </cell>
        </row>
        <row r="16">
          <cell r="B16" t="e">
            <v>#VALUE!</v>
          </cell>
          <cell r="C16">
            <v>0</v>
          </cell>
        </row>
        <row r="17">
          <cell r="B17" t="e">
            <v>#VALUE!</v>
          </cell>
          <cell r="C17">
            <v>0</v>
          </cell>
        </row>
        <row r="18">
          <cell r="B18" t="e">
            <v>#VALUE!</v>
          </cell>
          <cell r="C18">
            <v>0</v>
          </cell>
        </row>
        <row r="19">
          <cell r="B19" t="e">
            <v>#VALUE!</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1">
          <cell r="G81" t="e">
            <v>#VALUE!</v>
          </cell>
        </row>
        <row r="82">
          <cell r="G82" t="e">
            <v>#VALUE!</v>
          </cell>
        </row>
        <row r="83">
          <cell r="G83" t="e">
            <v>#VALUE!</v>
          </cell>
        </row>
        <row r="84">
          <cell r="G84" t="e">
            <v>#VALUE!</v>
          </cell>
        </row>
        <row r="85">
          <cell r="G85" t="e">
            <v>#VALUE!</v>
          </cell>
        </row>
        <row r="102">
          <cell r="C102" t="e">
            <v>#VALUE!</v>
          </cell>
        </row>
        <row r="105">
          <cell r="F105" t="e">
            <v>#VALUE!</v>
          </cell>
        </row>
        <row r="106">
          <cell r="F106" t="e">
            <v>#VALUE!</v>
          </cell>
        </row>
        <row r="107">
          <cell r="F107" t="e">
            <v>#VALUE!</v>
          </cell>
        </row>
        <row r="108">
          <cell r="F108">
            <v>0</v>
          </cell>
        </row>
        <row r="109">
          <cell r="F109" t="e">
            <v>#VALUE!</v>
          </cell>
        </row>
        <row r="113">
          <cell r="F113" t="e">
            <v>#VALUE!</v>
          </cell>
        </row>
      </sheetData>
      <sheetData sheetId="28">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1">
          <cell r="G81" t="e">
            <v>#VALUE!</v>
          </cell>
        </row>
        <row r="82">
          <cell r="G82" t="e">
            <v>#VALUE!</v>
          </cell>
        </row>
        <row r="83">
          <cell r="G83" t="e">
            <v>#VALUE!</v>
          </cell>
        </row>
        <row r="84">
          <cell r="G84" t="e">
            <v>#VALUE!</v>
          </cell>
        </row>
        <row r="85">
          <cell r="G85" t="e">
            <v>#VALUE!</v>
          </cell>
        </row>
        <row r="102">
          <cell r="C102" t="e">
            <v>#VALUE!</v>
          </cell>
        </row>
        <row r="105">
          <cell r="F105" t="e">
            <v>#VALUE!</v>
          </cell>
        </row>
        <row r="106">
          <cell r="F106" t="e">
            <v>#VALUE!</v>
          </cell>
        </row>
        <row r="107">
          <cell r="F107" t="e">
            <v>#VALUE!</v>
          </cell>
        </row>
        <row r="109">
          <cell r="F109" t="e">
            <v>#VALUE!</v>
          </cell>
        </row>
        <row r="113">
          <cell r="F113" t="e">
            <v>#VALUE!</v>
          </cell>
        </row>
      </sheetData>
      <sheetData sheetId="29">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1">
          <cell r="G81" t="e">
            <v>#VALUE!</v>
          </cell>
        </row>
        <row r="82">
          <cell r="G82" t="e">
            <v>#VALUE!</v>
          </cell>
        </row>
        <row r="83">
          <cell r="G83" t="e">
            <v>#VALUE!</v>
          </cell>
        </row>
        <row r="84">
          <cell r="G84" t="e">
            <v>#VALUE!</v>
          </cell>
        </row>
        <row r="87">
          <cell r="G87" t="e">
            <v>#VALUE!</v>
          </cell>
        </row>
        <row r="102">
          <cell r="C102" t="e">
            <v>#VALUE!</v>
          </cell>
          <cell r="F102" t="e">
            <v>#VALUE!</v>
          </cell>
        </row>
        <row r="105">
          <cell r="F105" t="e">
            <v>#VALUE!</v>
          </cell>
        </row>
        <row r="106">
          <cell r="F106" t="e">
            <v>#VALUE!</v>
          </cell>
        </row>
        <row r="107">
          <cell r="F107" t="e">
            <v>#VALUE!</v>
          </cell>
        </row>
        <row r="108">
          <cell r="F108" t="e">
            <v>#VALUE!</v>
          </cell>
        </row>
        <row r="109">
          <cell r="F109" t="e">
            <v>#VALUE!</v>
          </cell>
        </row>
        <row r="113">
          <cell r="F113" t="e">
            <v>#VALUE!</v>
          </cell>
        </row>
      </sheetData>
      <sheetData sheetId="30">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1">
          <cell r="G81" t="e">
            <v>#VALUE!</v>
          </cell>
        </row>
        <row r="82">
          <cell r="G82" t="e">
            <v>#VALUE!</v>
          </cell>
        </row>
        <row r="83">
          <cell r="G83" t="e">
            <v>#VALUE!</v>
          </cell>
        </row>
        <row r="84">
          <cell r="G84" t="e">
            <v>#VALUE!</v>
          </cell>
        </row>
        <row r="87">
          <cell r="G87" t="e">
            <v>#VALUE!</v>
          </cell>
        </row>
        <row r="102">
          <cell r="C102" t="e">
            <v>#VALUE!</v>
          </cell>
        </row>
        <row r="105">
          <cell r="F105" t="e">
            <v>#VALUE!</v>
          </cell>
        </row>
        <row r="106">
          <cell r="F106" t="e">
            <v>#VALUE!</v>
          </cell>
        </row>
        <row r="107">
          <cell r="F107" t="e">
            <v>#VALUE!</v>
          </cell>
        </row>
        <row r="108">
          <cell r="F108" t="e">
            <v>#VALUE!</v>
          </cell>
        </row>
        <row r="109">
          <cell r="F109" t="e">
            <v>#VALUE!</v>
          </cell>
        </row>
        <row r="113">
          <cell r="F113" t="e">
            <v>#VALUE!</v>
          </cell>
        </row>
      </sheetData>
      <sheetData sheetId="31">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1">
          <cell r="G81" t="e">
            <v>#VALUE!</v>
          </cell>
        </row>
        <row r="82">
          <cell r="G82" t="e">
            <v>#VALUE!</v>
          </cell>
        </row>
        <row r="83">
          <cell r="G83" t="e">
            <v>#VALUE!</v>
          </cell>
        </row>
        <row r="84">
          <cell r="G84" t="e">
            <v>#VALUE!</v>
          </cell>
        </row>
        <row r="87">
          <cell r="G87" t="e">
            <v>#VALUE!</v>
          </cell>
        </row>
        <row r="102">
          <cell r="C102" t="e">
            <v>#VALUE!</v>
          </cell>
        </row>
        <row r="105">
          <cell r="F105" t="e">
            <v>#VALUE!</v>
          </cell>
        </row>
        <row r="106">
          <cell r="F106" t="e">
            <v>#VALUE!</v>
          </cell>
        </row>
        <row r="107">
          <cell r="F107" t="e">
            <v>#VALUE!</v>
          </cell>
        </row>
        <row r="108">
          <cell r="F108" t="e">
            <v>#VALUE!</v>
          </cell>
        </row>
        <row r="109">
          <cell r="F109" t="e">
            <v>#VALUE!</v>
          </cell>
        </row>
        <row r="113">
          <cell r="F113" t="e">
            <v>#VALUE!</v>
          </cell>
        </row>
      </sheetData>
      <sheetData sheetId="32">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2">
          <cell r="G82" t="e">
            <v>#VALUE!</v>
          </cell>
        </row>
        <row r="83">
          <cell r="G83" t="e">
            <v>#VALUE!</v>
          </cell>
        </row>
        <row r="101">
          <cell r="C101" t="e">
            <v>#VALUE!</v>
          </cell>
        </row>
        <row r="105">
          <cell r="F105" t="e">
            <v>#VALUE!</v>
          </cell>
        </row>
        <row r="106">
          <cell r="F106" t="e">
            <v>#VALUE!</v>
          </cell>
        </row>
        <row r="107">
          <cell r="F107" t="e">
            <v>#VALUE!</v>
          </cell>
        </row>
        <row r="108">
          <cell r="F108" t="e">
            <v>#VALUE!</v>
          </cell>
        </row>
        <row r="109">
          <cell r="F109" t="e">
            <v>#VALUE!</v>
          </cell>
        </row>
        <row r="113">
          <cell r="F113" t="e">
            <v>#VALUE!</v>
          </cell>
        </row>
      </sheetData>
      <sheetData sheetId="33">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2">
          <cell r="G82" t="e">
            <v>#VALUE!</v>
          </cell>
        </row>
        <row r="83">
          <cell r="G83" t="e">
            <v>#VALUE!</v>
          </cell>
        </row>
        <row r="101">
          <cell r="C101" t="e">
            <v>#VALUE!</v>
          </cell>
        </row>
        <row r="105">
          <cell r="F105" t="e">
            <v>#VALUE!</v>
          </cell>
        </row>
        <row r="106">
          <cell r="F106" t="e">
            <v>#VALUE!</v>
          </cell>
        </row>
        <row r="107">
          <cell r="F107" t="e">
            <v>#VALUE!</v>
          </cell>
        </row>
        <row r="108">
          <cell r="F108" t="e">
            <v>#VALUE!</v>
          </cell>
        </row>
        <row r="109">
          <cell r="F109" t="e">
            <v>#VALUE!</v>
          </cell>
        </row>
        <row r="113">
          <cell r="F113" t="e">
            <v>#VALUE!</v>
          </cell>
        </row>
      </sheetData>
      <sheetData sheetId="34">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2">
          <cell r="G82" t="e">
            <v>#VALUE!</v>
          </cell>
        </row>
        <row r="83">
          <cell r="G83" t="e">
            <v>#VALUE!</v>
          </cell>
        </row>
        <row r="101">
          <cell r="C101" t="e">
            <v>#VALUE!</v>
          </cell>
        </row>
        <row r="105">
          <cell r="F105" t="e">
            <v>#VALUE!</v>
          </cell>
        </row>
        <row r="106">
          <cell r="F106" t="e">
            <v>#VALUE!</v>
          </cell>
        </row>
        <row r="107">
          <cell r="F107" t="e">
            <v>#VALUE!</v>
          </cell>
        </row>
        <row r="108">
          <cell r="F108" t="e">
            <v>#VALUE!</v>
          </cell>
        </row>
        <row r="109">
          <cell r="F109" t="e">
            <v>#VALUE!</v>
          </cell>
        </row>
        <row r="113">
          <cell r="F113" t="e">
            <v>#VALUE!</v>
          </cell>
        </row>
      </sheetData>
      <sheetData sheetId="35">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2">
          <cell r="G82" t="e">
            <v>#VALUE!</v>
          </cell>
        </row>
        <row r="83">
          <cell r="G83" t="e">
            <v>#VALUE!</v>
          </cell>
        </row>
        <row r="101">
          <cell r="C101" t="e">
            <v>#VALUE!</v>
          </cell>
        </row>
        <row r="105">
          <cell r="F105" t="e">
            <v>#VALUE!</v>
          </cell>
        </row>
        <row r="106">
          <cell r="F106" t="e">
            <v>#VALUE!</v>
          </cell>
        </row>
        <row r="107">
          <cell r="F107" t="e">
            <v>#VALUE!</v>
          </cell>
        </row>
        <row r="108">
          <cell r="F108" t="e">
            <v>#VALUE!</v>
          </cell>
        </row>
        <row r="109">
          <cell r="F109" t="e">
            <v>#VALUE!</v>
          </cell>
        </row>
        <row r="113">
          <cell r="F113" t="e">
            <v>#VALUE!</v>
          </cell>
        </row>
      </sheetData>
      <sheetData sheetId="36">
        <row r="17">
          <cell r="J17">
            <v>0</v>
          </cell>
        </row>
        <row r="55">
          <cell r="J55">
            <v>0</v>
          </cell>
        </row>
        <row r="56">
          <cell r="J56">
            <v>0</v>
          </cell>
        </row>
        <row r="57">
          <cell r="J57">
            <v>0</v>
          </cell>
        </row>
        <row r="58">
          <cell r="J58">
            <v>0</v>
          </cell>
        </row>
        <row r="59">
          <cell r="J59" t="e">
            <v>#VALUE!</v>
          </cell>
        </row>
        <row r="60">
          <cell r="J60" t="e">
            <v>#VALUE!</v>
          </cell>
        </row>
        <row r="61">
          <cell r="J61" t="e">
            <v>#VALUE!</v>
          </cell>
        </row>
        <row r="62">
          <cell r="J62" t="e">
            <v>#VALUE!</v>
          </cell>
        </row>
        <row r="63">
          <cell r="J63" t="e">
            <v>#VALUE!</v>
          </cell>
        </row>
        <row r="74">
          <cell r="J74" t="e">
            <v>#VALUE!</v>
          </cell>
        </row>
        <row r="79">
          <cell r="G79" t="e">
            <v>#VALUE!</v>
          </cell>
        </row>
        <row r="80">
          <cell r="G80" t="e">
            <v>#VALUE!</v>
          </cell>
        </row>
        <row r="82">
          <cell r="G82" t="e">
            <v>#VALUE!</v>
          </cell>
        </row>
        <row r="83">
          <cell r="G83" t="e">
            <v>#VALUE!</v>
          </cell>
        </row>
        <row r="101">
          <cell r="C101" t="e">
            <v>#VALUE!</v>
          </cell>
        </row>
        <row r="105">
          <cell r="F105" t="e">
            <v>#VALUE!</v>
          </cell>
        </row>
        <row r="106">
          <cell r="F106" t="e">
            <v>#VALUE!</v>
          </cell>
        </row>
        <row r="107">
          <cell r="F107" t="e">
            <v>#VALUE!</v>
          </cell>
        </row>
        <row r="108">
          <cell r="F108" t="e">
            <v>#VALUE!</v>
          </cell>
        </row>
        <row r="109">
          <cell r="F109" t="e">
            <v>#VALUE!</v>
          </cell>
        </row>
        <row r="113">
          <cell r="F113" t="e">
            <v>#VALUE!</v>
          </cell>
        </row>
      </sheetData>
      <sheetData sheetId="37"/>
      <sheetData sheetId="38"/>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47"/>
  <sheetViews>
    <sheetView topLeftCell="D201" zoomScale="140" zoomScaleNormal="140" workbookViewId="0">
      <selection activeCell="G202" sqref="G202"/>
    </sheetView>
  </sheetViews>
  <sheetFormatPr baseColWidth="10" defaultColWidth="10.5546875" defaultRowHeight="14.25" customHeight="1" x14ac:dyDescent="0.3"/>
  <cols>
    <col min="14" max="14" width="23.5546875" customWidth="1"/>
    <col min="15" max="15" width="12.77734375" customWidth="1"/>
  </cols>
  <sheetData>
    <row r="1" spans="2:16" ht="14.4" x14ac:dyDescent="0.3">
      <c r="J1" s="610" t="s">
        <v>0</v>
      </c>
      <c r="K1" s="610"/>
      <c r="L1" s="610"/>
      <c r="M1" s="610"/>
      <c r="N1" s="610"/>
      <c r="O1" s="610"/>
      <c r="P1" s="610"/>
    </row>
    <row r="3" spans="2:16" ht="14.4" x14ac:dyDescent="0.3">
      <c r="J3" s="6" t="s">
        <v>1</v>
      </c>
      <c r="M3" s="6"/>
      <c r="N3" s="6"/>
      <c r="O3" s="6"/>
    </row>
    <row r="4" spans="2:16" ht="14.4" x14ac:dyDescent="0.3">
      <c r="L4" s="6" t="s">
        <v>2</v>
      </c>
      <c r="M4" s="6"/>
      <c r="N4" s="6"/>
      <c r="O4" s="6"/>
    </row>
    <row r="5" spans="2:16" ht="14.4" x14ac:dyDescent="0.3">
      <c r="L5" s="6" t="s">
        <v>3</v>
      </c>
      <c r="M5" s="6"/>
      <c r="N5" s="6"/>
      <c r="O5" s="6"/>
    </row>
    <row r="6" spans="2:16" ht="14.4" x14ac:dyDescent="0.3">
      <c r="L6" s="6"/>
      <c r="M6" s="6"/>
      <c r="N6" s="6"/>
      <c r="O6" s="6"/>
    </row>
    <row r="7" spans="2:16" ht="17.399999999999999" customHeight="1" x14ac:dyDescent="0.3">
      <c r="B7" s="611" t="s">
        <v>4</v>
      </c>
      <c r="C7" s="611"/>
      <c r="D7" s="7"/>
      <c r="E7" s="7"/>
      <c r="I7" s="612" t="s">
        <v>5</v>
      </c>
      <c r="J7" s="612"/>
      <c r="L7" s="6" t="s">
        <v>6</v>
      </c>
      <c r="M7" s="6"/>
      <c r="N7" s="6"/>
      <c r="O7" s="6"/>
    </row>
    <row r="8" spans="2:16" ht="18" x14ac:dyDescent="0.3">
      <c r="B8" s="611"/>
      <c r="C8" s="611"/>
      <c r="D8" s="7"/>
      <c r="E8" s="7"/>
      <c r="I8" s="612"/>
      <c r="J8" s="612"/>
      <c r="L8" s="6"/>
      <c r="M8" s="6"/>
      <c r="N8" s="6"/>
      <c r="O8" s="6"/>
    </row>
    <row r="9" spans="2:16" ht="18" x14ac:dyDescent="0.3">
      <c r="B9" s="611"/>
      <c r="C9" s="611"/>
      <c r="D9" s="7"/>
      <c r="E9" s="7"/>
      <c r="I9" s="612"/>
      <c r="J9" s="612"/>
      <c r="L9" s="6" t="s">
        <v>7</v>
      </c>
      <c r="M9" s="6"/>
      <c r="N9" s="6"/>
      <c r="O9" s="6"/>
    </row>
    <row r="10" spans="2:16" ht="18" x14ac:dyDescent="0.3">
      <c r="B10" s="611"/>
      <c r="C10" s="611"/>
      <c r="D10" s="7"/>
      <c r="E10" s="7"/>
      <c r="I10" s="612"/>
      <c r="J10" s="612"/>
      <c r="L10" s="6"/>
      <c r="M10" s="6"/>
      <c r="N10" s="6"/>
      <c r="O10" s="6"/>
    </row>
    <row r="11" spans="2:16" ht="18" x14ac:dyDescent="0.3">
      <c r="B11" s="611"/>
      <c r="C11" s="611"/>
      <c r="D11" s="7"/>
      <c r="E11" s="7"/>
      <c r="I11" s="612"/>
      <c r="J11" s="612"/>
      <c r="L11" s="8" t="s">
        <v>8</v>
      </c>
      <c r="M11" s="6"/>
      <c r="N11" s="6"/>
      <c r="O11" s="6"/>
    </row>
    <row r="12" spans="2:16" ht="18" x14ac:dyDescent="0.3">
      <c r="B12" s="611"/>
      <c r="C12" s="611"/>
      <c r="D12" s="7"/>
      <c r="E12" s="7"/>
      <c r="I12" s="612"/>
      <c r="J12" s="612"/>
      <c r="L12" s="6"/>
      <c r="M12" s="6"/>
      <c r="N12" s="6"/>
      <c r="O12" s="6"/>
    </row>
    <row r="13" spans="2:16" ht="18" x14ac:dyDescent="0.3">
      <c r="B13" s="611"/>
      <c r="C13" s="611"/>
      <c r="D13" s="7"/>
      <c r="E13" s="7"/>
      <c r="I13" s="612"/>
      <c r="J13" s="612"/>
      <c r="L13" s="6" t="s">
        <v>9</v>
      </c>
      <c r="M13" s="6"/>
      <c r="N13" s="6"/>
      <c r="O13" s="6"/>
    </row>
    <row r="14" spans="2:16" ht="18" x14ac:dyDescent="0.3">
      <c r="B14" s="611"/>
      <c r="C14" s="611"/>
      <c r="D14" s="7"/>
      <c r="E14" s="7"/>
      <c r="I14" s="612"/>
      <c r="J14" s="612"/>
      <c r="L14" s="6"/>
      <c r="M14" s="6"/>
      <c r="N14" s="6"/>
      <c r="O14" s="6"/>
    </row>
    <row r="15" spans="2:16" ht="18" x14ac:dyDescent="0.3">
      <c r="B15" s="611"/>
      <c r="C15" s="611"/>
      <c r="D15" s="7"/>
      <c r="E15" s="7"/>
      <c r="I15" s="612"/>
      <c r="J15" s="612"/>
      <c r="L15" s="6" t="s">
        <v>10</v>
      </c>
      <c r="M15" s="6"/>
      <c r="N15" s="6"/>
      <c r="O15" s="6"/>
    </row>
    <row r="16" spans="2:16" ht="14.4" x14ac:dyDescent="0.3">
      <c r="L16" s="6"/>
      <c r="M16" s="6"/>
      <c r="N16" s="6"/>
      <c r="O16" s="6"/>
    </row>
    <row r="17" spans="1:15" ht="14.4" x14ac:dyDescent="0.3">
      <c r="L17" s="6" t="s">
        <v>11</v>
      </c>
      <c r="M17" s="6"/>
      <c r="N17" s="6"/>
      <c r="O17" s="6"/>
    </row>
    <row r="18" spans="1:15" ht="14.4" x14ac:dyDescent="0.3">
      <c r="L18" s="6"/>
      <c r="M18" s="6"/>
      <c r="N18" s="6"/>
      <c r="O18" s="6"/>
    </row>
    <row r="19" spans="1:15" ht="14.4" x14ac:dyDescent="0.3">
      <c r="L19" s="6" t="s">
        <v>12</v>
      </c>
      <c r="M19" s="6"/>
      <c r="N19" s="6"/>
      <c r="O19" s="6"/>
    </row>
    <row r="20" spans="1:15" ht="14.4" x14ac:dyDescent="0.3">
      <c r="L20" s="6"/>
      <c r="M20" s="6"/>
      <c r="N20" s="6"/>
      <c r="O20" s="6"/>
    </row>
    <row r="21" spans="1:15" ht="14.4" x14ac:dyDescent="0.3">
      <c r="L21" s="6" t="s">
        <v>13</v>
      </c>
      <c r="M21" s="6"/>
      <c r="N21" s="6"/>
      <c r="O21" s="6"/>
    </row>
    <row r="22" spans="1:15" ht="14.4" x14ac:dyDescent="0.3">
      <c r="L22" s="6"/>
      <c r="M22" s="6"/>
      <c r="N22" s="6"/>
      <c r="O22" s="6"/>
    </row>
    <row r="23" spans="1:15" ht="14.4" x14ac:dyDescent="0.3">
      <c r="A23" t="s">
        <v>14</v>
      </c>
      <c r="L23" s="6" t="s">
        <v>15</v>
      </c>
      <c r="M23" s="6"/>
      <c r="N23" s="6"/>
      <c r="O23" s="6"/>
    </row>
    <row r="24" spans="1:15" ht="14.4" x14ac:dyDescent="0.3">
      <c r="A24" t="s">
        <v>16</v>
      </c>
    </row>
    <row r="25" spans="1:15" ht="14.4" x14ac:dyDescent="0.3">
      <c r="A25" t="s">
        <v>17</v>
      </c>
    </row>
    <row r="26" spans="1:15" ht="14.4" x14ac:dyDescent="0.3">
      <c r="A26" t="s">
        <v>18</v>
      </c>
      <c r="E26" s="608" t="s">
        <v>19</v>
      </c>
      <c r="F26" s="608"/>
      <c r="H26" s="608" t="s">
        <v>20</v>
      </c>
      <c r="I26" s="608"/>
      <c r="K26" s="608" t="s">
        <v>21</v>
      </c>
      <c r="L26" s="608"/>
    </row>
    <row r="27" spans="1:15" ht="14.4" x14ac:dyDescent="0.3">
      <c r="A27" t="s">
        <v>22</v>
      </c>
    </row>
    <row r="28" spans="1:15" ht="14.25" customHeight="1" x14ac:dyDescent="0.3">
      <c r="B28" s="608"/>
      <c r="C28" s="608"/>
      <c r="E28" s="609" t="s">
        <v>23</v>
      </c>
      <c r="F28" s="609"/>
      <c r="H28" s="609" t="s">
        <v>24</v>
      </c>
      <c r="I28" s="609"/>
      <c r="K28" s="609" t="s">
        <v>24</v>
      </c>
      <c r="L28" s="609"/>
    </row>
    <row r="29" spans="1:15" ht="14.4" x14ac:dyDescent="0.3">
      <c r="B29" s="608"/>
      <c r="C29" s="608"/>
      <c r="E29" s="609"/>
      <c r="F29" s="609"/>
      <c r="H29" s="609"/>
      <c r="I29" s="609"/>
      <c r="K29" s="609"/>
      <c r="L29" s="609"/>
    </row>
    <row r="30" spans="1:15" ht="14.4" x14ac:dyDescent="0.3">
      <c r="B30" s="608"/>
      <c r="C30" s="608"/>
      <c r="E30" s="609"/>
      <c r="F30" s="609"/>
      <c r="H30" s="609"/>
      <c r="I30" s="609"/>
      <c r="K30" s="609"/>
      <c r="L30" s="609"/>
    </row>
    <row r="31" spans="1:15" ht="14.4" x14ac:dyDescent="0.3">
      <c r="B31" s="608"/>
      <c r="C31" s="608"/>
      <c r="E31" s="609"/>
      <c r="F31" s="609"/>
      <c r="H31" s="609"/>
      <c r="I31" s="609"/>
      <c r="K31" s="609"/>
      <c r="L31" s="609"/>
    </row>
    <row r="32" spans="1:15" ht="14.4" x14ac:dyDescent="0.3">
      <c r="B32" s="608"/>
      <c r="C32" s="608"/>
      <c r="E32" s="609"/>
      <c r="F32" s="609"/>
      <c r="H32" s="609"/>
      <c r="I32" s="609"/>
      <c r="K32" s="609"/>
      <c r="L32" s="609"/>
    </row>
    <row r="33" spans="2:12" ht="14.4" x14ac:dyDescent="0.3">
      <c r="B33" s="608"/>
      <c r="C33" s="608"/>
      <c r="E33" s="609"/>
      <c r="F33" s="609"/>
      <c r="H33" s="609"/>
      <c r="I33" s="609"/>
      <c r="K33" s="609"/>
      <c r="L33" s="609"/>
    </row>
    <row r="34" spans="2:12" ht="14.4" x14ac:dyDescent="0.3">
      <c r="B34" s="608"/>
      <c r="C34" s="608"/>
      <c r="E34" s="609"/>
      <c r="F34" s="609"/>
      <c r="H34" s="609"/>
      <c r="I34" s="609"/>
      <c r="K34" s="609"/>
      <c r="L34" s="609"/>
    </row>
    <row r="35" spans="2:12" ht="14.4" x14ac:dyDescent="0.3">
      <c r="B35" s="608"/>
      <c r="C35" s="608"/>
      <c r="E35" s="609"/>
      <c r="F35" s="609"/>
      <c r="H35" s="609"/>
      <c r="I35" s="609"/>
      <c r="K35" s="609"/>
      <c r="L35" s="609"/>
    </row>
    <row r="36" spans="2:12" ht="14.4" x14ac:dyDescent="0.3">
      <c r="B36" s="608"/>
      <c r="C36" s="608"/>
      <c r="E36" s="609"/>
      <c r="F36" s="609"/>
      <c r="H36" s="609"/>
      <c r="I36" s="609"/>
      <c r="K36" s="609"/>
      <c r="L36" s="609"/>
    </row>
    <row r="38" spans="2:12" ht="14.4" x14ac:dyDescent="0.3">
      <c r="J38" t="s">
        <v>25</v>
      </c>
    </row>
    <row r="39" spans="2:12" ht="15.6" x14ac:dyDescent="0.3">
      <c r="B39" s="9" t="s">
        <v>26</v>
      </c>
      <c r="C39" s="9"/>
      <c r="D39" s="9"/>
      <c r="E39" s="9"/>
      <c r="F39" s="6"/>
      <c r="G39" s="6"/>
      <c r="J39" t="s">
        <v>27</v>
      </c>
    </row>
    <row r="40" spans="2:12" ht="15.6" x14ac:dyDescent="0.3">
      <c r="B40" s="9"/>
      <c r="C40" s="9"/>
      <c r="D40" s="9"/>
      <c r="E40" s="9"/>
      <c r="F40" s="6"/>
      <c r="G40" s="6"/>
      <c r="J40" t="s">
        <v>28</v>
      </c>
    </row>
    <row r="41" spans="2:12" ht="15.6" x14ac:dyDescent="0.3">
      <c r="B41" s="9"/>
      <c r="C41" s="9" t="s">
        <v>29</v>
      </c>
      <c r="D41" s="9"/>
      <c r="E41" s="9"/>
      <c r="F41" s="6"/>
      <c r="G41" s="6"/>
    </row>
    <row r="42" spans="2:12" ht="15.6" x14ac:dyDescent="0.3">
      <c r="B42" s="9"/>
      <c r="C42" s="9"/>
      <c r="D42" s="9"/>
      <c r="E42" s="9"/>
      <c r="F42" s="6"/>
      <c r="G42" s="6"/>
    </row>
    <row r="43" spans="2:12" ht="15.6" x14ac:dyDescent="0.3">
      <c r="B43" s="9"/>
      <c r="C43" s="9"/>
      <c r="D43" s="9" t="s">
        <v>30</v>
      </c>
      <c r="E43" s="9"/>
      <c r="F43" s="6"/>
      <c r="G43" s="6"/>
    </row>
    <row r="44" spans="2:12" ht="15.6" x14ac:dyDescent="0.3">
      <c r="B44" s="9"/>
      <c r="C44" s="9"/>
      <c r="D44" s="9" t="s">
        <v>31</v>
      </c>
      <c r="E44" s="9"/>
      <c r="F44" s="6"/>
      <c r="G44" s="6"/>
    </row>
    <row r="45" spans="2:12" ht="15.6" x14ac:dyDescent="0.3">
      <c r="B45" s="9"/>
      <c r="C45" s="10"/>
      <c r="D45" s="9"/>
      <c r="E45" s="9"/>
      <c r="F45" s="6"/>
      <c r="G45" s="6"/>
    </row>
    <row r="46" spans="2:12" ht="15.6" x14ac:dyDescent="0.3">
      <c r="B46" s="10"/>
      <c r="C46" s="10"/>
      <c r="D46" s="10"/>
      <c r="E46" s="9" t="s">
        <v>32</v>
      </c>
    </row>
    <row r="48" spans="2:12" ht="15.6" x14ac:dyDescent="0.3">
      <c r="C48" s="9" t="s">
        <v>33</v>
      </c>
      <c r="D48" s="9"/>
      <c r="E48" s="10"/>
    </row>
    <row r="49" spans="3:9" ht="15.6" x14ac:dyDescent="0.3">
      <c r="C49" s="9"/>
      <c r="D49" s="9" t="s">
        <v>34</v>
      </c>
      <c r="E49" s="10"/>
    </row>
    <row r="50" spans="3:9" ht="15.6" x14ac:dyDescent="0.3">
      <c r="C50" s="9"/>
      <c r="D50" s="9" t="s">
        <v>35</v>
      </c>
      <c r="E50" s="10"/>
    </row>
    <row r="51" spans="3:9" ht="15.6" x14ac:dyDescent="0.3">
      <c r="C51" s="9"/>
      <c r="D51" s="9" t="s">
        <v>36</v>
      </c>
      <c r="E51" s="10"/>
    </row>
    <row r="52" spans="3:9" ht="15.6" x14ac:dyDescent="0.3">
      <c r="C52" s="10"/>
      <c r="D52" s="9" t="s">
        <v>37</v>
      </c>
      <c r="E52" s="10"/>
    </row>
    <row r="53" spans="3:9" ht="15.6" x14ac:dyDescent="0.3">
      <c r="C53" s="10"/>
      <c r="D53" s="9" t="s">
        <v>38</v>
      </c>
      <c r="E53" s="10"/>
    </row>
    <row r="54" spans="3:9" ht="15.6" x14ac:dyDescent="0.3">
      <c r="C54" s="10"/>
      <c r="D54" s="9" t="s">
        <v>39</v>
      </c>
      <c r="E54" s="10"/>
    </row>
    <row r="55" spans="3:9" ht="15.6" x14ac:dyDescent="0.3">
      <c r="C55" s="10"/>
      <c r="D55" s="9" t="s">
        <v>40</v>
      </c>
      <c r="E55" s="10"/>
    </row>
    <row r="56" spans="3:9" ht="15.6" x14ac:dyDescent="0.3">
      <c r="D56" s="9" t="s">
        <v>41</v>
      </c>
    </row>
    <row r="57" spans="3:9" ht="15.6" x14ac:dyDescent="0.3">
      <c r="D57" s="9" t="s">
        <v>42</v>
      </c>
    </row>
    <row r="59" spans="3:9" ht="14.4" x14ac:dyDescent="0.3">
      <c r="E59" s="6" t="s">
        <v>43</v>
      </c>
      <c r="F59" s="6"/>
      <c r="G59" s="6"/>
      <c r="H59" s="6"/>
      <c r="I59" s="6"/>
    </row>
    <row r="60" spans="3:9" ht="14.4" x14ac:dyDescent="0.3">
      <c r="E60" s="6"/>
      <c r="F60" s="6" t="s">
        <v>44</v>
      </c>
      <c r="G60" s="6"/>
      <c r="H60" s="6"/>
      <c r="I60" s="6"/>
    </row>
    <row r="61" spans="3:9" ht="14.4" x14ac:dyDescent="0.3">
      <c r="E61" s="6"/>
      <c r="F61" s="6" t="s">
        <v>45</v>
      </c>
      <c r="G61" s="6"/>
      <c r="H61" s="6"/>
      <c r="I61" s="6"/>
    </row>
    <row r="62" spans="3:9" ht="14.4" x14ac:dyDescent="0.3">
      <c r="E62" s="6"/>
      <c r="F62" s="6"/>
      <c r="G62" s="6" t="s">
        <v>46</v>
      </c>
      <c r="H62" s="6"/>
      <c r="I62" s="6"/>
    </row>
    <row r="63" spans="3:9" ht="14.4" x14ac:dyDescent="0.3">
      <c r="E63" s="6"/>
      <c r="F63" s="6"/>
      <c r="G63" s="6" t="s">
        <v>47</v>
      </c>
      <c r="H63" s="6"/>
      <c r="I63" s="6"/>
    </row>
    <row r="64" spans="3:9" ht="14.4" x14ac:dyDescent="0.3">
      <c r="E64" s="6"/>
      <c r="F64" s="6"/>
      <c r="G64" s="6" t="s">
        <v>48</v>
      </c>
      <c r="H64" s="6"/>
      <c r="I64" s="6"/>
    </row>
    <row r="65" spans="2:10" ht="14.4" x14ac:dyDescent="0.3">
      <c r="E65" s="6"/>
      <c r="F65" s="6"/>
      <c r="G65" s="6" t="s">
        <v>49</v>
      </c>
      <c r="H65" s="6"/>
      <c r="I65" s="6"/>
    </row>
    <row r="66" spans="2:10" ht="14.4" x14ac:dyDescent="0.3">
      <c r="E66" s="6"/>
      <c r="F66" s="6"/>
      <c r="G66" s="6" t="s">
        <v>50</v>
      </c>
      <c r="H66" s="6"/>
      <c r="I66" s="6"/>
    </row>
    <row r="67" spans="2:10" ht="14.4" x14ac:dyDescent="0.3">
      <c r="E67" s="6"/>
      <c r="F67" s="6"/>
      <c r="G67" s="6" t="s">
        <v>51</v>
      </c>
      <c r="H67" s="6"/>
      <c r="I67" s="6"/>
    </row>
    <row r="68" spans="2:10" ht="14.4" x14ac:dyDescent="0.3">
      <c r="E68" s="6"/>
      <c r="F68" s="6"/>
      <c r="G68" s="6" t="s">
        <v>52</v>
      </c>
      <c r="H68" s="6"/>
      <c r="I68" s="6"/>
      <c r="J68" s="6"/>
    </row>
    <row r="69" spans="2:10" ht="14.4" x14ac:dyDescent="0.3">
      <c r="E69" s="6"/>
      <c r="F69" s="6"/>
      <c r="G69" s="6" t="s">
        <v>53</v>
      </c>
      <c r="H69" s="6"/>
      <c r="I69" s="6"/>
      <c r="J69" s="6"/>
    </row>
    <row r="70" spans="2:10" ht="14.4" x14ac:dyDescent="0.3">
      <c r="E70" s="6"/>
      <c r="F70" s="6"/>
      <c r="G70" s="6" t="s">
        <v>54</v>
      </c>
      <c r="H70" s="6"/>
      <c r="I70" s="6"/>
      <c r="J70" s="6"/>
    </row>
    <row r="71" spans="2:10" ht="14.4" x14ac:dyDescent="0.3">
      <c r="G71" s="6" t="s">
        <v>55</v>
      </c>
      <c r="H71" s="6"/>
      <c r="I71" s="6"/>
      <c r="J71" s="6"/>
    </row>
    <row r="72" spans="2:10" ht="14.4" x14ac:dyDescent="0.3">
      <c r="G72" s="6"/>
      <c r="H72" s="6" t="s">
        <v>56</v>
      </c>
      <c r="I72" s="6"/>
      <c r="J72" s="6"/>
    </row>
    <row r="73" spans="2:10" ht="14.4" x14ac:dyDescent="0.3">
      <c r="G73" s="6"/>
      <c r="H73" s="8" t="s">
        <v>57</v>
      </c>
      <c r="I73" s="6"/>
      <c r="J73" s="6"/>
    </row>
    <row r="74" spans="2:10" ht="14.4" x14ac:dyDescent="0.3">
      <c r="G74" s="6"/>
      <c r="H74" s="6" t="s">
        <v>58</v>
      </c>
      <c r="I74" s="6"/>
      <c r="J74" s="6"/>
    </row>
    <row r="75" spans="2:10" ht="14.4" x14ac:dyDescent="0.3">
      <c r="G75" s="6"/>
      <c r="H75" s="6"/>
      <c r="I75" s="8" t="s">
        <v>59</v>
      </c>
      <c r="J75" s="6"/>
    </row>
    <row r="76" spans="2:10" ht="14.4" x14ac:dyDescent="0.3">
      <c r="G76" s="6"/>
      <c r="H76" s="6"/>
      <c r="I76" s="6" t="s">
        <v>60</v>
      </c>
      <c r="J76" s="6"/>
    </row>
    <row r="77" spans="2:10" ht="14.4" x14ac:dyDescent="0.3">
      <c r="G77" s="6"/>
      <c r="H77" s="6"/>
      <c r="I77" s="6" t="s">
        <v>61</v>
      </c>
      <c r="J77" s="6"/>
    </row>
    <row r="78" spans="2:10" ht="14.4" x14ac:dyDescent="0.3">
      <c r="G78" s="6"/>
      <c r="H78" s="6"/>
      <c r="I78" s="6"/>
      <c r="J78" s="6"/>
    </row>
    <row r="79" spans="2:10" ht="14.4" x14ac:dyDescent="0.3">
      <c r="B79" s="6" t="s">
        <v>62</v>
      </c>
      <c r="G79" s="6"/>
      <c r="H79" s="6"/>
      <c r="I79" s="6"/>
      <c r="J79" s="6"/>
    </row>
    <row r="80" spans="2:10" ht="14.4" x14ac:dyDescent="0.3">
      <c r="G80" s="6"/>
      <c r="H80" s="6"/>
      <c r="I80" s="6"/>
      <c r="J80" s="6"/>
    </row>
    <row r="81" spans="2:10" ht="14.4" x14ac:dyDescent="0.3">
      <c r="B81" s="8" t="s">
        <v>63</v>
      </c>
      <c r="C81" s="6"/>
      <c r="D81" s="6"/>
      <c r="E81" s="6"/>
      <c r="F81" s="6"/>
      <c r="G81" s="6"/>
      <c r="H81" s="6"/>
      <c r="I81" s="6"/>
      <c r="J81" s="6"/>
    </row>
    <row r="82" spans="2:10" ht="14.4" x14ac:dyDescent="0.3">
      <c r="B82" s="6" t="s">
        <v>64</v>
      </c>
      <c r="C82" s="6"/>
      <c r="D82" s="6"/>
      <c r="E82" s="6"/>
      <c r="F82" s="6"/>
      <c r="G82" s="6"/>
      <c r="H82" s="6"/>
      <c r="I82" s="6"/>
      <c r="J82" s="6"/>
    </row>
    <row r="83" spans="2:10" ht="14.4" x14ac:dyDescent="0.3">
      <c r="B83" s="6"/>
      <c r="D83" s="6"/>
      <c r="E83" s="6"/>
      <c r="F83" s="6"/>
      <c r="G83" s="6"/>
      <c r="H83" s="6"/>
      <c r="I83" s="6"/>
      <c r="J83" s="6"/>
    </row>
    <row r="84" spans="2:10" ht="14.4" x14ac:dyDescent="0.3">
      <c r="C84" s="6" t="s">
        <v>65</v>
      </c>
    </row>
    <row r="85" spans="2:10" ht="14.4" x14ac:dyDescent="0.3">
      <c r="C85" s="6" t="s">
        <v>66</v>
      </c>
    </row>
    <row r="86" spans="2:10" ht="14.4" x14ac:dyDescent="0.3">
      <c r="C86" s="6"/>
    </row>
    <row r="87" spans="2:10" ht="14.4" x14ac:dyDescent="0.3">
      <c r="C87" s="6" t="s">
        <v>67</v>
      </c>
    </row>
    <row r="88" spans="2:10" ht="14.4" x14ac:dyDescent="0.3">
      <c r="C88" s="6" t="s">
        <v>68</v>
      </c>
    </row>
    <row r="89" spans="2:10" ht="14.4" x14ac:dyDescent="0.3">
      <c r="C89" s="6" t="s">
        <v>69</v>
      </c>
    </row>
    <row r="90" spans="2:10" ht="14.4" x14ac:dyDescent="0.3">
      <c r="C90" s="6" t="s">
        <v>70</v>
      </c>
    </row>
    <row r="91" spans="2:10" ht="14.4" x14ac:dyDescent="0.3">
      <c r="C91" s="6"/>
    </row>
    <row r="92" spans="2:10" ht="14.4" x14ac:dyDescent="0.3">
      <c r="B92" s="6" t="s">
        <v>71</v>
      </c>
      <c r="D92" s="6"/>
      <c r="E92" s="6"/>
    </row>
    <row r="93" spans="2:10" ht="14.4" x14ac:dyDescent="0.3">
      <c r="B93" s="6"/>
      <c r="D93" s="6"/>
      <c r="E93" s="6"/>
    </row>
    <row r="94" spans="2:10" ht="14.4" x14ac:dyDescent="0.3">
      <c r="C94" s="6"/>
      <c r="D94" s="6" t="s">
        <v>72</v>
      </c>
      <c r="E94" s="6"/>
    </row>
    <row r="95" spans="2:10" ht="14.4" x14ac:dyDescent="0.3">
      <c r="C95" s="6"/>
      <c r="D95" s="6"/>
      <c r="E95" s="6" t="s">
        <v>73</v>
      </c>
    </row>
    <row r="96" spans="2:10" ht="14.4" x14ac:dyDescent="0.3">
      <c r="E96" s="6" t="s">
        <v>74</v>
      </c>
    </row>
    <row r="97" spans="2:11" ht="14.4" x14ac:dyDescent="0.3">
      <c r="D97" s="6" t="s">
        <v>75</v>
      </c>
    </row>
    <row r="98" spans="2:11" ht="14.4" x14ac:dyDescent="0.3">
      <c r="D98" s="6" t="s">
        <v>76</v>
      </c>
    </row>
    <row r="99" spans="2:11" ht="14.4" x14ac:dyDescent="0.3">
      <c r="D99" s="6" t="s">
        <v>77</v>
      </c>
    </row>
    <row r="101" spans="2:11" ht="14.4" x14ac:dyDescent="0.3">
      <c r="B101" s="6" t="s">
        <v>78</v>
      </c>
    </row>
    <row r="103" spans="2:11" ht="14.4" x14ac:dyDescent="0.3">
      <c r="B103" s="6" t="s">
        <v>79</v>
      </c>
    </row>
    <row r="106" spans="2:11" ht="14.4" x14ac:dyDescent="0.3">
      <c r="C106" s="6" t="s">
        <v>80</v>
      </c>
      <c r="D106" s="6"/>
      <c r="E106" s="6"/>
      <c r="F106" s="6"/>
      <c r="G106" s="6"/>
      <c r="H106" s="6"/>
      <c r="I106" s="6"/>
      <c r="J106" s="6"/>
      <c r="K106" s="6"/>
    </row>
    <row r="107" spans="2:11" ht="14.4" x14ac:dyDescent="0.3">
      <c r="C107" s="6"/>
      <c r="D107" s="6"/>
      <c r="E107" s="6"/>
      <c r="F107" s="6"/>
      <c r="G107" s="6"/>
      <c r="H107" s="6"/>
      <c r="I107" s="6"/>
      <c r="J107" s="6"/>
      <c r="K107" s="6"/>
    </row>
    <row r="108" spans="2:11" ht="14.4" x14ac:dyDescent="0.3">
      <c r="C108" s="6"/>
      <c r="D108" s="6" t="s">
        <v>81</v>
      </c>
      <c r="E108" s="6"/>
      <c r="F108" s="6"/>
      <c r="G108" s="6"/>
      <c r="H108" s="6"/>
      <c r="I108" s="6"/>
      <c r="J108" s="6"/>
      <c r="K108" s="6"/>
    </row>
    <row r="109" spans="2:11" ht="14.4" x14ac:dyDescent="0.3">
      <c r="C109" s="6"/>
      <c r="D109" s="6"/>
      <c r="E109" s="6"/>
      <c r="F109" s="6"/>
      <c r="G109" s="6"/>
      <c r="H109" s="6"/>
      <c r="I109" s="6"/>
      <c r="J109" s="6"/>
      <c r="K109" s="6"/>
    </row>
    <row r="110" spans="2:11" ht="14.4" x14ac:dyDescent="0.3">
      <c r="C110" s="6"/>
      <c r="D110" s="6"/>
      <c r="E110" s="8" t="s">
        <v>82</v>
      </c>
      <c r="F110" s="6"/>
      <c r="G110" s="6"/>
      <c r="H110" s="6"/>
      <c r="I110" s="6"/>
      <c r="J110" s="6"/>
      <c r="K110" s="6"/>
    </row>
    <row r="111" spans="2:11" ht="14.4" x14ac:dyDescent="0.3">
      <c r="C111" s="6"/>
      <c r="D111" s="6"/>
      <c r="E111" s="6" t="s">
        <v>83</v>
      </c>
      <c r="F111" s="6"/>
      <c r="G111" s="6"/>
      <c r="H111" s="6"/>
      <c r="I111" s="6"/>
      <c r="J111" s="6"/>
      <c r="K111" s="6"/>
    </row>
    <row r="112" spans="2:11" ht="14.4" x14ac:dyDescent="0.3">
      <c r="C112" s="6"/>
      <c r="D112" s="6"/>
      <c r="E112" s="6"/>
      <c r="F112" s="6"/>
      <c r="G112" s="6"/>
      <c r="H112" s="6"/>
      <c r="I112" s="6"/>
      <c r="J112" s="6"/>
      <c r="K112" s="6"/>
    </row>
    <row r="113" spans="2:13" ht="14.4" x14ac:dyDescent="0.3">
      <c r="C113" s="6"/>
      <c r="D113" s="6"/>
      <c r="E113" s="6"/>
      <c r="F113" s="6" t="s">
        <v>84</v>
      </c>
      <c r="G113" s="6"/>
      <c r="H113" s="6"/>
      <c r="I113" s="6"/>
      <c r="J113" s="6"/>
      <c r="K113" s="6"/>
    </row>
    <row r="114" spans="2:13" ht="14.4" x14ac:dyDescent="0.3">
      <c r="C114" s="6"/>
      <c r="D114" s="6"/>
      <c r="E114" s="6"/>
      <c r="F114" s="6"/>
      <c r="G114" s="6"/>
      <c r="H114" s="6" t="s">
        <v>85</v>
      </c>
      <c r="I114" s="6"/>
      <c r="J114" s="6"/>
      <c r="K114" s="6"/>
    </row>
    <row r="115" spans="2:13" ht="14.4" x14ac:dyDescent="0.3">
      <c r="C115" s="6"/>
      <c r="D115" s="6"/>
      <c r="E115" s="6"/>
      <c r="F115" s="6"/>
      <c r="G115" s="6"/>
      <c r="H115" s="6" t="s">
        <v>86</v>
      </c>
      <c r="I115" s="6"/>
      <c r="J115" s="6"/>
      <c r="K115" s="6"/>
    </row>
    <row r="116" spans="2:13" ht="14.4" x14ac:dyDescent="0.3">
      <c r="C116" s="6"/>
      <c r="D116" s="6"/>
      <c r="E116" s="6"/>
      <c r="F116" s="6"/>
      <c r="G116" s="6"/>
      <c r="H116" s="6" t="s">
        <v>87</v>
      </c>
      <c r="I116" s="6"/>
      <c r="J116" s="6"/>
      <c r="K116" s="6"/>
    </row>
    <row r="117" spans="2:13" ht="14.4" x14ac:dyDescent="0.3">
      <c r="C117" s="6"/>
      <c r="D117" s="6"/>
      <c r="E117" s="6"/>
      <c r="F117" s="6"/>
      <c r="G117" s="6"/>
      <c r="H117" s="6" t="s">
        <v>88</v>
      </c>
      <c r="I117" s="6"/>
      <c r="J117" s="6"/>
      <c r="K117" s="6"/>
    </row>
    <row r="118" spans="2:13" ht="14.4" x14ac:dyDescent="0.3">
      <c r="C118" s="6"/>
      <c r="D118" s="6"/>
      <c r="E118" s="6"/>
      <c r="F118" s="6"/>
      <c r="G118" s="6"/>
      <c r="H118" s="6" t="s">
        <v>89</v>
      </c>
      <c r="I118" s="6"/>
      <c r="J118" s="6"/>
      <c r="K118" s="6"/>
    </row>
    <row r="119" spans="2:13" ht="14.4" x14ac:dyDescent="0.3">
      <c r="C119" s="6"/>
      <c r="D119" s="6"/>
      <c r="E119" s="6"/>
      <c r="F119" s="6"/>
      <c r="G119" s="6"/>
      <c r="H119" s="6" t="s">
        <v>90</v>
      </c>
      <c r="I119" s="6"/>
      <c r="J119" s="6"/>
      <c r="K119" s="6"/>
    </row>
    <row r="120" spans="2:13" ht="14.4" x14ac:dyDescent="0.3">
      <c r="C120" s="6"/>
      <c r="D120" s="6"/>
      <c r="E120" s="6"/>
      <c r="F120" s="6"/>
      <c r="G120" s="6"/>
      <c r="H120" s="6" t="s">
        <v>91</v>
      </c>
      <c r="I120" s="6"/>
      <c r="J120" s="6"/>
      <c r="K120" s="6"/>
    </row>
    <row r="121" spans="2:13" ht="14.4" x14ac:dyDescent="0.3">
      <c r="C121" s="6"/>
      <c r="D121" s="6"/>
      <c r="E121" s="6"/>
      <c r="F121" s="6"/>
      <c r="G121" s="6"/>
      <c r="H121" s="6" t="s">
        <v>92</v>
      </c>
      <c r="I121" s="6"/>
      <c r="J121" s="6"/>
      <c r="K121" s="6"/>
    </row>
    <row r="122" spans="2:13" ht="14.4" x14ac:dyDescent="0.3">
      <c r="C122" s="6"/>
      <c r="D122" s="6"/>
      <c r="E122" s="6"/>
      <c r="F122" s="6"/>
      <c r="G122" s="6"/>
      <c r="H122" s="6"/>
      <c r="I122" s="6"/>
      <c r="J122" s="6"/>
      <c r="K122" s="6"/>
    </row>
    <row r="123" spans="2:13" ht="14.4" x14ac:dyDescent="0.3">
      <c r="B123" s="11"/>
      <c r="C123" s="12"/>
      <c r="D123" s="12"/>
      <c r="E123" s="12"/>
      <c r="F123" s="12"/>
      <c r="G123" s="12"/>
      <c r="H123" s="12"/>
      <c r="I123" s="12"/>
      <c r="J123" s="12"/>
      <c r="K123" s="12"/>
      <c r="L123" s="13"/>
      <c r="M123" s="14"/>
    </row>
    <row r="124" spans="2:13" ht="14.4" x14ac:dyDescent="0.3">
      <c r="B124" s="15"/>
      <c r="C124" s="6" t="s">
        <v>93</v>
      </c>
      <c r="D124" s="6"/>
      <c r="E124" s="6"/>
      <c r="H124" s="6"/>
      <c r="I124" s="6"/>
      <c r="J124" s="6"/>
      <c r="K124" s="6"/>
      <c r="M124" s="16"/>
    </row>
    <row r="125" spans="2:13" ht="14.4" x14ac:dyDescent="0.3">
      <c r="B125" s="15"/>
      <c r="C125" s="6" t="s">
        <v>94</v>
      </c>
      <c r="D125" s="6"/>
      <c r="E125" s="6"/>
      <c r="H125" s="6"/>
      <c r="I125" s="6"/>
      <c r="J125" s="6"/>
      <c r="K125" s="6"/>
      <c r="M125" s="16"/>
    </row>
    <row r="126" spans="2:13" ht="14.4" x14ac:dyDescent="0.3">
      <c r="B126" s="15"/>
      <c r="M126" s="16"/>
    </row>
    <row r="127" spans="2:13" ht="14.4" x14ac:dyDescent="0.3">
      <c r="B127" s="15"/>
      <c r="D127" s="6" t="s">
        <v>95</v>
      </c>
      <c r="M127" s="16"/>
    </row>
    <row r="128" spans="2:13" ht="14.4" x14ac:dyDescent="0.3">
      <c r="B128" s="15"/>
      <c r="D128" s="6" t="s">
        <v>96</v>
      </c>
      <c r="M128" s="16"/>
    </row>
    <row r="129" spans="2:13" ht="14.4" x14ac:dyDescent="0.3">
      <c r="B129" s="15"/>
      <c r="D129" s="6" t="s">
        <v>97</v>
      </c>
      <c r="M129" s="16"/>
    </row>
    <row r="130" spans="2:13" ht="14.4" x14ac:dyDescent="0.3">
      <c r="B130" s="15"/>
      <c r="D130" s="6" t="s">
        <v>98</v>
      </c>
      <c r="M130" s="16"/>
    </row>
    <row r="131" spans="2:13" ht="14.4" x14ac:dyDescent="0.3">
      <c r="B131" s="15"/>
      <c r="D131" s="6"/>
      <c r="M131" s="16"/>
    </row>
    <row r="132" spans="2:13" ht="14.4" x14ac:dyDescent="0.3">
      <c r="B132" s="15"/>
      <c r="M132" s="16"/>
    </row>
    <row r="133" spans="2:13" ht="14.4" x14ac:dyDescent="0.3">
      <c r="B133" s="15"/>
      <c r="C133" s="6" t="s">
        <v>99</v>
      </c>
      <c r="M133" s="16"/>
    </row>
    <row r="134" spans="2:13" ht="14.4" x14ac:dyDescent="0.3">
      <c r="B134" s="15"/>
      <c r="C134" s="6" t="s">
        <v>100</v>
      </c>
      <c r="M134" s="16"/>
    </row>
    <row r="135" spans="2:13" ht="14.4" x14ac:dyDescent="0.3">
      <c r="B135" s="15"/>
      <c r="M135" s="16"/>
    </row>
    <row r="136" spans="2:13" ht="14.4" x14ac:dyDescent="0.3">
      <c r="B136" s="15"/>
      <c r="C136" s="17" t="s">
        <v>101</v>
      </c>
      <c r="M136" s="16"/>
    </row>
    <row r="137" spans="2:13" ht="14.4" x14ac:dyDescent="0.3">
      <c r="B137" s="18"/>
      <c r="C137" s="19"/>
      <c r="D137" s="19"/>
      <c r="E137" s="19"/>
      <c r="F137" s="19"/>
      <c r="G137" s="19"/>
      <c r="H137" s="19"/>
      <c r="I137" s="19"/>
      <c r="J137" s="19"/>
      <c r="K137" s="19"/>
      <c r="L137" s="19"/>
      <c r="M137" s="20"/>
    </row>
    <row r="139" spans="2:13" ht="14.4" x14ac:dyDescent="0.3">
      <c r="B139" s="6" t="s">
        <v>102</v>
      </c>
    </row>
    <row r="140" spans="2:13" ht="14.4" x14ac:dyDescent="0.3">
      <c r="B140" s="6" t="s">
        <v>103</v>
      </c>
    </row>
    <row r="142" spans="2:13" ht="14.4" x14ac:dyDescent="0.3">
      <c r="B142" s="6" t="s">
        <v>104</v>
      </c>
      <c r="C142" s="6"/>
      <c r="D142" s="6"/>
      <c r="E142" s="6"/>
      <c r="F142" s="6"/>
      <c r="G142" s="6"/>
      <c r="H142" s="6"/>
      <c r="I142" s="6"/>
      <c r="J142" s="6"/>
      <c r="K142" s="6"/>
      <c r="L142" s="6"/>
      <c r="M142" s="6"/>
    </row>
    <row r="143" spans="2:13" ht="14.4" x14ac:dyDescent="0.3">
      <c r="B143" s="6"/>
      <c r="C143" s="6"/>
      <c r="D143" s="6"/>
      <c r="E143" s="6"/>
      <c r="F143" s="6"/>
      <c r="G143" s="6"/>
      <c r="H143" s="6"/>
      <c r="I143" s="6"/>
      <c r="J143" s="6"/>
      <c r="K143" s="6"/>
      <c r="L143" s="6"/>
      <c r="M143" s="6"/>
    </row>
    <row r="144" spans="2:13" ht="14.4" x14ac:dyDescent="0.3">
      <c r="B144" s="6"/>
      <c r="C144" s="17" t="s">
        <v>105</v>
      </c>
      <c r="D144" s="6"/>
      <c r="E144" s="6"/>
      <c r="F144" s="6"/>
      <c r="G144" s="6"/>
      <c r="H144" s="6"/>
      <c r="I144" s="6"/>
      <c r="J144" s="6"/>
      <c r="K144" s="6"/>
      <c r="L144" s="6"/>
      <c r="M144" s="6"/>
    </row>
    <row r="145" spans="2:13" ht="14.4" x14ac:dyDescent="0.3">
      <c r="B145" s="6"/>
      <c r="C145" s="6"/>
      <c r="D145" s="6"/>
      <c r="E145" s="6"/>
      <c r="F145" s="6"/>
      <c r="G145" s="6"/>
      <c r="H145" s="6"/>
      <c r="I145" s="6"/>
      <c r="J145" s="6"/>
      <c r="K145" s="6"/>
      <c r="L145" s="6"/>
      <c r="M145" s="6"/>
    </row>
    <row r="146" spans="2:13" ht="14.4" x14ac:dyDescent="0.3">
      <c r="B146" s="6"/>
      <c r="C146" s="6"/>
      <c r="D146" s="6" t="s">
        <v>106</v>
      </c>
      <c r="E146" s="6"/>
      <c r="F146" s="6"/>
      <c r="G146" s="6"/>
      <c r="H146" s="6"/>
      <c r="I146" s="6"/>
      <c r="J146" s="6"/>
      <c r="K146" s="6"/>
      <c r="L146" s="6"/>
      <c r="M146" s="6"/>
    </row>
    <row r="147" spans="2:13" ht="14.4" x14ac:dyDescent="0.3">
      <c r="B147" s="6"/>
      <c r="C147" s="6"/>
      <c r="D147" s="6"/>
      <c r="E147" s="6"/>
      <c r="F147" s="6"/>
      <c r="G147" s="6"/>
      <c r="H147" s="6"/>
      <c r="I147" s="6"/>
      <c r="J147" s="6"/>
      <c r="K147" s="6"/>
      <c r="L147" s="6"/>
      <c r="M147" s="6"/>
    </row>
    <row r="148" spans="2:13" ht="14.4" x14ac:dyDescent="0.3">
      <c r="B148" s="6"/>
      <c r="C148" s="6"/>
      <c r="D148" s="6"/>
      <c r="E148" s="6" t="s">
        <v>107</v>
      </c>
      <c r="F148" s="6"/>
      <c r="G148" s="6"/>
      <c r="H148" s="6"/>
      <c r="I148" s="6"/>
      <c r="J148" s="6"/>
      <c r="K148" s="6"/>
      <c r="L148" s="6"/>
      <c r="M148" s="6"/>
    </row>
    <row r="149" spans="2:13" ht="14.4" x14ac:dyDescent="0.3">
      <c r="B149" s="6"/>
      <c r="C149" s="6"/>
      <c r="D149" s="6"/>
      <c r="E149" s="6"/>
      <c r="F149" s="6"/>
      <c r="G149" s="6"/>
      <c r="H149" s="6"/>
      <c r="I149" s="6"/>
      <c r="J149" s="6"/>
      <c r="K149" s="6"/>
      <c r="L149" s="6"/>
      <c r="M149" s="6"/>
    </row>
    <row r="150" spans="2:13" ht="14.4" x14ac:dyDescent="0.3">
      <c r="B150" s="6"/>
      <c r="C150" s="6"/>
      <c r="D150" s="6"/>
      <c r="E150" s="6"/>
      <c r="F150" s="6" t="s">
        <v>108</v>
      </c>
      <c r="G150" s="6"/>
      <c r="H150" s="6"/>
      <c r="I150" s="6"/>
      <c r="J150" s="6"/>
      <c r="K150" s="6"/>
      <c r="L150" s="6"/>
      <c r="M150" s="6"/>
    </row>
    <row r="151" spans="2:13" ht="14.4" x14ac:dyDescent="0.3">
      <c r="B151" s="6"/>
      <c r="C151" s="6"/>
      <c r="D151" s="6"/>
      <c r="E151" s="6"/>
      <c r="F151" s="6"/>
      <c r="G151" s="6"/>
      <c r="H151" s="6"/>
      <c r="I151" s="6"/>
      <c r="J151" s="6"/>
      <c r="K151" s="6"/>
      <c r="L151" s="6"/>
      <c r="M151" s="6"/>
    </row>
    <row r="152" spans="2:13" ht="14.4" x14ac:dyDescent="0.3">
      <c r="G152" s="6" t="s">
        <v>109</v>
      </c>
    </row>
    <row r="153" spans="2:13" ht="14.4" x14ac:dyDescent="0.3">
      <c r="G153" s="6" t="s">
        <v>110</v>
      </c>
    </row>
    <row r="154" spans="2:13" ht="14.4" x14ac:dyDescent="0.3">
      <c r="G154" s="6" t="s">
        <v>111</v>
      </c>
    </row>
    <row r="155" spans="2:13" ht="14.4" x14ac:dyDescent="0.3">
      <c r="G155" s="6" t="s">
        <v>112</v>
      </c>
    </row>
    <row r="156" spans="2:13" ht="14.4" x14ac:dyDescent="0.3">
      <c r="G156" s="6" t="s">
        <v>22</v>
      </c>
    </row>
    <row r="158" spans="2:13" ht="14.4" x14ac:dyDescent="0.3">
      <c r="D158" s="6" t="s">
        <v>113</v>
      </c>
    </row>
    <row r="160" spans="2:13" ht="14.4" x14ac:dyDescent="0.3">
      <c r="D160" s="6" t="s">
        <v>114</v>
      </c>
    </row>
    <row r="161" spans="4:15" ht="14.4" x14ac:dyDescent="0.3">
      <c r="D161" s="6"/>
    </row>
    <row r="162" spans="4:15" ht="14.4" x14ac:dyDescent="0.3">
      <c r="D162" s="6"/>
      <c r="E162" s="6" t="s">
        <v>115</v>
      </c>
      <c r="F162" s="6"/>
      <c r="G162" s="6"/>
      <c r="H162" s="6"/>
      <c r="I162" s="6"/>
      <c r="J162" s="6"/>
      <c r="K162" s="6"/>
      <c r="L162" s="6"/>
      <c r="M162" s="6"/>
      <c r="N162" s="6"/>
      <c r="O162" s="6"/>
    </row>
    <row r="163" spans="4:15" ht="14.4" x14ac:dyDescent="0.3">
      <c r="D163" s="6"/>
      <c r="E163" s="6" t="s">
        <v>116</v>
      </c>
      <c r="G163" s="6"/>
      <c r="H163" s="6"/>
      <c r="I163" s="6"/>
      <c r="J163" s="6"/>
      <c r="K163" s="6"/>
      <c r="L163" s="6"/>
      <c r="M163" s="6"/>
      <c r="N163" s="6"/>
      <c r="O163" s="6"/>
    </row>
    <row r="165" spans="4:15" ht="14.4" x14ac:dyDescent="0.3">
      <c r="D165" s="6" t="s">
        <v>117</v>
      </c>
      <c r="H165" s="6"/>
    </row>
    <row r="167" spans="4:15" ht="14.4" x14ac:dyDescent="0.3">
      <c r="D167" s="6" t="s">
        <v>118</v>
      </c>
      <c r="E167" s="6"/>
      <c r="F167" s="6"/>
      <c r="G167" s="6"/>
      <c r="H167" s="6"/>
    </row>
    <row r="168" spans="4:15" ht="14.4" x14ac:dyDescent="0.3">
      <c r="D168" s="6"/>
      <c r="E168" s="6"/>
      <c r="F168" s="6"/>
      <c r="G168" s="6"/>
      <c r="H168" s="6"/>
    </row>
    <row r="169" spans="4:15" ht="14.4" x14ac:dyDescent="0.3">
      <c r="D169" s="6" t="s">
        <v>119</v>
      </c>
      <c r="E169" s="6"/>
      <c r="F169" s="6"/>
      <c r="G169" s="6"/>
      <c r="H169" s="6"/>
    </row>
    <row r="170" spans="4:15" ht="14.4" x14ac:dyDescent="0.3">
      <c r="D170" s="6"/>
      <c r="E170" s="6"/>
      <c r="F170" s="6"/>
      <c r="G170" s="6"/>
      <c r="H170" s="6"/>
    </row>
    <row r="171" spans="4:15" ht="14.4" x14ac:dyDescent="0.3">
      <c r="D171" s="6"/>
      <c r="E171" s="6"/>
      <c r="F171" s="6" t="s">
        <v>120</v>
      </c>
      <c r="G171" s="6"/>
      <c r="H171" s="6"/>
    </row>
    <row r="172" spans="4:15" ht="14.4" x14ac:dyDescent="0.3">
      <c r="D172" s="6"/>
      <c r="E172" s="6"/>
      <c r="F172" s="6" t="s">
        <v>121</v>
      </c>
      <c r="G172" s="6"/>
      <c r="H172" s="6"/>
    </row>
    <row r="173" spans="4:15" ht="14.4" x14ac:dyDescent="0.3">
      <c r="D173" s="6"/>
      <c r="E173" s="6"/>
      <c r="F173" s="6"/>
      <c r="G173" s="6" t="s">
        <v>122</v>
      </c>
      <c r="H173" s="6"/>
    </row>
    <row r="174" spans="4:15" ht="14.4" x14ac:dyDescent="0.3">
      <c r="D174" s="6"/>
      <c r="E174" s="6"/>
      <c r="F174" s="6" t="s">
        <v>123</v>
      </c>
      <c r="G174" s="6"/>
      <c r="H174" s="6"/>
    </row>
    <row r="175" spans="4:15" ht="14.4" x14ac:dyDescent="0.3">
      <c r="D175" s="6"/>
      <c r="E175" s="6"/>
      <c r="F175" s="6" t="s">
        <v>124</v>
      </c>
      <c r="G175" s="6"/>
      <c r="H175" s="6"/>
    </row>
    <row r="176" spans="4:15" ht="14.4" x14ac:dyDescent="0.3">
      <c r="D176" s="6"/>
      <c r="E176" s="6"/>
      <c r="F176" s="6" t="s">
        <v>125</v>
      </c>
      <c r="G176" s="6"/>
      <c r="H176" s="6"/>
    </row>
    <row r="178" spans="3:8" ht="14.4" x14ac:dyDescent="0.3">
      <c r="C178" s="6" t="s">
        <v>126</v>
      </c>
    </row>
    <row r="180" spans="3:8" ht="14.4" x14ac:dyDescent="0.3">
      <c r="E180" s="6" t="s">
        <v>120</v>
      </c>
    </row>
    <row r="181" spans="3:8" ht="14.4" x14ac:dyDescent="0.3">
      <c r="E181" t="s">
        <v>127</v>
      </c>
    </row>
    <row r="183" spans="3:8" ht="14.4" x14ac:dyDescent="0.3">
      <c r="C183" s="17" t="s">
        <v>128</v>
      </c>
      <c r="D183" s="6"/>
      <c r="E183" s="6"/>
      <c r="F183" s="6"/>
      <c r="G183" s="6"/>
      <c r="H183" s="6"/>
    </row>
    <row r="184" spans="3:8" ht="14.4" x14ac:dyDescent="0.3">
      <c r="C184" s="6"/>
      <c r="D184" s="6"/>
      <c r="E184" s="6"/>
      <c r="F184" s="6"/>
      <c r="G184" s="6"/>
      <c r="H184" s="6"/>
    </row>
    <row r="185" spans="3:8" ht="14.4" x14ac:dyDescent="0.3">
      <c r="C185" s="6"/>
      <c r="D185" s="6" t="s">
        <v>129</v>
      </c>
      <c r="E185" s="6"/>
      <c r="F185" s="6"/>
      <c r="G185" s="6"/>
      <c r="H185" s="6"/>
    </row>
    <row r="186" spans="3:8" ht="14.4" x14ac:dyDescent="0.3">
      <c r="C186" s="6"/>
      <c r="D186" s="6"/>
      <c r="E186" s="6"/>
      <c r="F186" s="6"/>
      <c r="G186" s="6"/>
      <c r="H186" s="6"/>
    </row>
    <row r="187" spans="3:8" ht="14.4" x14ac:dyDescent="0.3">
      <c r="C187" s="6"/>
      <c r="D187" s="6"/>
      <c r="E187" s="6" t="s">
        <v>130</v>
      </c>
      <c r="F187" s="6"/>
      <c r="G187" s="6"/>
      <c r="H187" s="6"/>
    </row>
    <row r="188" spans="3:8" ht="14.4" x14ac:dyDescent="0.3">
      <c r="C188" s="6"/>
      <c r="D188" s="6"/>
      <c r="E188" s="6"/>
      <c r="F188" s="6"/>
      <c r="G188" s="6"/>
      <c r="H188" s="6"/>
    </row>
    <row r="189" spans="3:8" ht="14.4" x14ac:dyDescent="0.3">
      <c r="D189" s="6" t="s">
        <v>131</v>
      </c>
      <c r="E189" s="6"/>
      <c r="F189" s="6"/>
      <c r="G189" s="6"/>
      <c r="H189" s="6"/>
    </row>
    <row r="190" spans="3:8" ht="14.4" x14ac:dyDescent="0.3">
      <c r="D190" s="6"/>
      <c r="E190" s="6"/>
      <c r="F190" s="6"/>
      <c r="G190" s="6"/>
      <c r="H190" s="6"/>
    </row>
    <row r="191" spans="3:8" ht="14.4" x14ac:dyDescent="0.3">
      <c r="D191" s="6"/>
      <c r="E191" s="6" t="s">
        <v>132</v>
      </c>
      <c r="F191" s="6"/>
      <c r="G191" s="6"/>
      <c r="H191" s="6"/>
    </row>
    <row r="192" spans="3:8" ht="14.4" x14ac:dyDescent="0.3">
      <c r="D192" s="6"/>
      <c r="E192" s="6"/>
      <c r="F192" s="6"/>
      <c r="G192" s="6"/>
      <c r="H192" s="6"/>
    </row>
    <row r="193" spans="2:10" ht="14.4" x14ac:dyDescent="0.3">
      <c r="D193" s="6"/>
      <c r="E193" s="6" t="s">
        <v>133</v>
      </c>
      <c r="F193" s="6"/>
      <c r="G193" s="6"/>
      <c r="H193" s="6"/>
    </row>
    <row r="194" spans="2:10" ht="14.4" x14ac:dyDescent="0.3">
      <c r="D194" s="6"/>
      <c r="E194" s="6"/>
      <c r="F194" s="6"/>
      <c r="G194" s="6"/>
      <c r="H194" s="6"/>
    </row>
    <row r="195" spans="2:10" ht="14.4" x14ac:dyDescent="0.3">
      <c r="D195" s="6"/>
      <c r="E195" s="6" t="s">
        <v>134</v>
      </c>
      <c r="F195" s="6"/>
      <c r="G195" s="6"/>
      <c r="H195" s="6"/>
      <c r="I195" s="6"/>
      <c r="J195" s="6"/>
    </row>
    <row r="196" spans="2:10" ht="14.4" x14ac:dyDescent="0.3">
      <c r="D196" s="6"/>
      <c r="E196" s="6"/>
      <c r="F196" s="6"/>
      <c r="G196" s="6"/>
      <c r="H196" s="6"/>
      <c r="I196" s="6"/>
      <c r="J196" s="6"/>
    </row>
    <row r="197" spans="2:10" ht="14.4" x14ac:dyDescent="0.3">
      <c r="D197" s="6"/>
      <c r="E197" s="6"/>
      <c r="F197" s="6"/>
      <c r="G197" s="6" t="s">
        <v>135</v>
      </c>
      <c r="H197" s="6"/>
      <c r="I197" s="6"/>
      <c r="J197" s="6"/>
    </row>
    <row r="198" spans="2:10" ht="14.4" x14ac:dyDescent="0.3">
      <c r="D198" s="6"/>
      <c r="E198" s="6"/>
      <c r="F198" s="6"/>
      <c r="G198" s="6" t="s">
        <v>136</v>
      </c>
      <c r="H198" s="6"/>
      <c r="I198" s="6"/>
      <c r="J198" s="6"/>
    </row>
    <row r="199" spans="2:10" ht="14.4" x14ac:dyDescent="0.3">
      <c r="D199" s="6"/>
      <c r="E199" s="6"/>
      <c r="F199" s="6"/>
      <c r="G199" s="6"/>
      <c r="H199" s="6"/>
      <c r="I199" s="6"/>
      <c r="J199" s="6"/>
    </row>
    <row r="200" spans="2:10" ht="14.4" x14ac:dyDescent="0.3">
      <c r="D200" s="6"/>
      <c r="E200" s="6"/>
      <c r="F200" s="6" t="s">
        <v>137</v>
      </c>
      <c r="G200" s="6"/>
      <c r="H200" s="6"/>
      <c r="I200" s="6"/>
      <c r="J200" s="6"/>
    </row>
    <row r="201" spans="2:10" ht="14.4" x14ac:dyDescent="0.3">
      <c r="D201" s="6"/>
      <c r="E201" s="6"/>
      <c r="F201" s="6"/>
      <c r="G201" s="6"/>
      <c r="H201" s="6"/>
      <c r="I201" s="6"/>
      <c r="J201" s="6"/>
    </row>
    <row r="202" spans="2:10" ht="14.4" x14ac:dyDescent="0.3">
      <c r="D202" s="6" t="s">
        <v>138</v>
      </c>
      <c r="E202" s="6"/>
      <c r="F202" s="6"/>
      <c r="G202" s="6"/>
      <c r="H202" s="6"/>
      <c r="I202" s="6"/>
      <c r="J202" s="6"/>
    </row>
    <row r="203" spans="2:10" ht="14.4" x14ac:dyDescent="0.3">
      <c r="D203" s="6"/>
      <c r="E203" s="6"/>
      <c r="F203" s="6"/>
      <c r="G203" s="6"/>
      <c r="H203" s="6"/>
      <c r="I203" s="6"/>
      <c r="J203" s="6"/>
    </row>
    <row r="204" spans="2:10" ht="14.4" x14ac:dyDescent="0.3">
      <c r="B204" s="6"/>
      <c r="C204" s="6" t="s">
        <v>139</v>
      </c>
      <c r="D204" s="6"/>
      <c r="E204" s="6"/>
      <c r="F204" s="6"/>
      <c r="G204" s="6"/>
      <c r="H204" s="6"/>
      <c r="I204" s="6"/>
      <c r="J204" s="6"/>
    </row>
    <row r="205" spans="2:10" ht="14.4" x14ac:dyDescent="0.3">
      <c r="B205" s="6"/>
      <c r="C205" s="6"/>
      <c r="D205" s="6"/>
      <c r="E205" s="6"/>
    </row>
    <row r="206" spans="2:10" ht="14.4" x14ac:dyDescent="0.3">
      <c r="B206" s="6"/>
      <c r="C206" s="6"/>
      <c r="D206" s="6" t="s">
        <v>140</v>
      </c>
      <c r="E206" s="6"/>
    </row>
    <row r="208" spans="2:10" ht="14.4" x14ac:dyDescent="0.3">
      <c r="E208" s="8" t="s">
        <v>141</v>
      </c>
      <c r="F208" s="6"/>
    </row>
    <row r="209" spans="4:9" ht="14.4" x14ac:dyDescent="0.3">
      <c r="E209" s="6" t="s">
        <v>142</v>
      </c>
    </row>
    <row r="211" spans="4:9" ht="14.4" x14ac:dyDescent="0.3">
      <c r="D211" s="6" t="s">
        <v>143</v>
      </c>
      <c r="E211" s="6"/>
      <c r="F211" s="6"/>
      <c r="G211" s="6"/>
      <c r="H211" s="6"/>
      <c r="I211" s="6"/>
    </row>
    <row r="212" spans="4:9" ht="14.4" x14ac:dyDescent="0.3">
      <c r="D212" s="6"/>
      <c r="E212" s="6"/>
      <c r="F212" s="6"/>
      <c r="G212" s="6"/>
      <c r="H212" s="6"/>
      <c r="I212" s="6"/>
    </row>
    <row r="213" spans="4:9" ht="14.4" x14ac:dyDescent="0.3">
      <c r="D213" s="6" t="s">
        <v>144</v>
      </c>
      <c r="E213" s="6"/>
      <c r="F213" s="6"/>
      <c r="G213" s="6"/>
      <c r="H213" s="6"/>
      <c r="I213" s="6"/>
    </row>
    <row r="214" spans="4:9" ht="14.4" x14ac:dyDescent="0.3">
      <c r="D214" s="6"/>
      <c r="E214" s="6"/>
      <c r="F214" s="6"/>
      <c r="G214" s="6"/>
      <c r="H214" s="6"/>
      <c r="I214" s="6"/>
    </row>
    <row r="215" spans="4:9" ht="14.4" x14ac:dyDescent="0.3">
      <c r="D215" s="6"/>
      <c r="E215" s="8" t="s">
        <v>145</v>
      </c>
      <c r="F215" s="6"/>
      <c r="G215" s="6"/>
      <c r="H215" s="6"/>
      <c r="I215" s="6"/>
    </row>
    <row r="216" spans="4:9" ht="14.4" x14ac:dyDescent="0.3">
      <c r="D216" s="6"/>
      <c r="E216" s="6" t="s">
        <v>146</v>
      </c>
      <c r="F216" s="6"/>
      <c r="G216" s="6"/>
      <c r="H216" s="6"/>
      <c r="I216" s="6"/>
    </row>
    <row r="218" spans="4:9" ht="14.4" x14ac:dyDescent="0.3">
      <c r="E218" s="8" t="s">
        <v>147</v>
      </c>
    </row>
    <row r="219" spans="4:9" ht="14.4" x14ac:dyDescent="0.3">
      <c r="E219" s="6" t="s">
        <v>148</v>
      </c>
    </row>
    <row r="221" spans="4:9" ht="14.4" x14ac:dyDescent="0.3">
      <c r="E221" s="8" t="s">
        <v>149</v>
      </c>
    </row>
    <row r="223" spans="4:9" ht="14.4" x14ac:dyDescent="0.3">
      <c r="E223" s="6" t="s">
        <v>150</v>
      </c>
    </row>
    <row r="226" spans="2:7" ht="14.4" x14ac:dyDescent="0.3">
      <c r="C226" s="6" t="s">
        <v>151</v>
      </c>
      <c r="D226" s="6"/>
      <c r="E226" s="6"/>
      <c r="F226" s="6"/>
      <c r="G226" s="6"/>
    </row>
    <row r="227" spans="2:7" ht="14.4" x14ac:dyDescent="0.3">
      <c r="C227" s="6"/>
      <c r="D227" s="6"/>
      <c r="E227" s="6"/>
      <c r="F227" s="6"/>
      <c r="G227" s="6"/>
    </row>
    <row r="228" spans="2:7" ht="14.4" x14ac:dyDescent="0.3">
      <c r="C228" s="6"/>
      <c r="D228" s="6"/>
      <c r="E228" s="6" t="s">
        <v>152</v>
      </c>
      <c r="F228" s="6"/>
      <c r="G228" s="6"/>
    </row>
    <row r="229" spans="2:7" ht="14.4" x14ac:dyDescent="0.3">
      <c r="C229" s="6"/>
      <c r="D229" s="6"/>
      <c r="E229" s="6"/>
      <c r="F229" s="6"/>
      <c r="G229" s="6"/>
    </row>
    <row r="230" spans="2:7" ht="14.4" x14ac:dyDescent="0.3">
      <c r="C230" s="6"/>
      <c r="D230" s="6" t="s">
        <v>153</v>
      </c>
      <c r="G230" s="6"/>
    </row>
    <row r="231" spans="2:7" ht="14.4" x14ac:dyDescent="0.3">
      <c r="C231" s="6"/>
      <c r="D231" s="6" t="s">
        <v>154</v>
      </c>
      <c r="G231" s="6"/>
    </row>
    <row r="232" spans="2:7" ht="14.4" x14ac:dyDescent="0.3">
      <c r="C232" s="6"/>
      <c r="D232" s="6"/>
      <c r="E232" s="6" t="s">
        <v>155</v>
      </c>
      <c r="G232" s="6"/>
    </row>
    <row r="233" spans="2:7" ht="14.4" x14ac:dyDescent="0.3">
      <c r="E233" s="6" t="s">
        <v>156</v>
      </c>
    </row>
    <row r="234" spans="2:7" ht="14.4" x14ac:dyDescent="0.3">
      <c r="E234" t="s">
        <v>157</v>
      </c>
    </row>
    <row r="235" spans="2:7" ht="14.4" x14ac:dyDescent="0.3">
      <c r="B235" s="6" t="s">
        <v>158</v>
      </c>
    </row>
    <row r="236" spans="2:7" ht="14.4" x14ac:dyDescent="0.3">
      <c r="B236" s="6" t="s">
        <v>159</v>
      </c>
      <c r="C236" s="6"/>
    </row>
    <row r="237" spans="2:7" ht="14.4" x14ac:dyDescent="0.3">
      <c r="C237" s="6"/>
    </row>
    <row r="238" spans="2:7" ht="14.4" x14ac:dyDescent="0.3">
      <c r="B238" s="8" t="s">
        <v>160</v>
      </c>
    </row>
    <row r="239" spans="2:7" ht="14.4" x14ac:dyDescent="0.3">
      <c r="B239" s="6" t="s">
        <v>161</v>
      </c>
    </row>
    <row r="240" spans="2:7" ht="14.4" x14ac:dyDescent="0.3">
      <c r="B240" s="6" t="s">
        <v>162</v>
      </c>
    </row>
    <row r="241" spans="2:14" ht="14.4" x14ac:dyDescent="0.3">
      <c r="B241" s="6" t="s">
        <v>163</v>
      </c>
    </row>
    <row r="242" spans="2:14" ht="14.4" x14ac:dyDescent="0.3">
      <c r="B242" s="6" t="s">
        <v>164</v>
      </c>
    </row>
    <row r="243" spans="2:14" ht="14.4" x14ac:dyDescent="0.3">
      <c r="B243" s="6"/>
    </row>
    <row r="244" spans="2:14" ht="14.4" x14ac:dyDescent="0.3">
      <c r="B244" s="21" t="s">
        <v>165</v>
      </c>
      <c r="C244" s="22"/>
      <c r="D244" s="22"/>
      <c r="E244" s="22"/>
      <c r="F244" s="22"/>
      <c r="G244" s="22"/>
      <c r="H244" s="22"/>
      <c r="I244" s="22"/>
      <c r="J244" s="22"/>
      <c r="K244" s="22"/>
      <c r="L244" s="22"/>
      <c r="M244" s="22"/>
      <c r="N244" s="22"/>
    </row>
    <row r="245" spans="2:14" ht="14.4" x14ac:dyDescent="0.3">
      <c r="B245" s="21" t="s">
        <v>166</v>
      </c>
      <c r="C245" s="22"/>
      <c r="D245" s="22"/>
      <c r="E245" s="22"/>
      <c r="F245" s="22"/>
      <c r="G245" s="22"/>
      <c r="H245" s="22"/>
      <c r="I245" s="22"/>
      <c r="J245" s="22"/>
      <c r="K245" s="22"/>
      <c r="L245" s="22"/>
      <c r="M245" s="22"/>
      <c r="N245" s="22"/>
    </row>
    <row r="247" spans="2:14" ht="14.4" x14ac:dyDescent="0.3">
      <c r="B247" t="s">
        <v>167</v>
      </c>
    </row>
  </sheetData>
  <mergeCells count="10">
    <mergeCell ref="B28:C36"/>
    <mergeCell ref="E28:F36"/>
    <mergeCell ref="H28:I36"/>
    <mergeCell ref="K28:L36"/>
    <mergeCell ref="J1:P1"/>
    <mergeCell ref="B7:C15"/>
    <mergeCell ref="I7:J15"/>
    <mergeCell ref="E26:F26"/>
    <mergeCell ref="H26:I26"/>
    <mergeCell ref="K26:L26"/>
  </mergeCells>
  <pageMargins left="0.118055555555556" right="0.118055555555556" top="0.35416666666666702" bottom="0.35416666666666702" header="0.511811023622047" footer="0.511811023622047"/>
  <pageSetup paperSize="9" scale="80" orientation="landscape" horizontalDpi="300" verticalDpi="300"/>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37"/>
  <sheetViews>
    <sheetView topLeftCell="A2" zoomScaleNormal="100" workbookViewId="0">
      <selection activeCell="C6" sqref="C6"/>
    </sheetView>
  </sheetViews>
  <sheetFormatPr baseColWidth="10" defaultColWidth="11.44140625" defaultRowHeight="13.5" customHeight="1" x14ac:dyDescent="0.25"/>
  <cols>
    <col min="1" max="1" width="11.44140625" style="6"/>
    <col min="2" max="2" width="24.44140625" style="6" customWidth="1"/>
    <col min="3" max="3" width="11.44140625" style="232"/>
    <col min="4" max="4" width="22.44140625" style="232" customWidth="1"/>
    <col min="5" max="5" width="11.44140625" style="6"/>
    <col min="6" max="6" width="15.109375" style="6" customWidth="1"/>
    <col min="7" max="7" width="23" style="6" customWidth="1"/>
    <col min="8" max="16384" width="11.44140625" style="6"/>
  </cols>
  <sheetData>
    <row r="2" spans="1:9" ht="13.5" customHeight="1" x14ac:dyDescent="0.25">
      <c r="A2" s="720" t="s">
        <v>709</v>
      </c>
      <c r="B2" s="720"/>
      <c r="C2" s="720"/>
      <c r="D2" s="720"/>
      <c r="E2" s="720"/>
      <c r="F2" s="720"/>
      <c r="G2" s="720"/>
    </row>
    <row r="3" spans="1:9" ht="13.8" x14ac:dyDescent="0.25">
      <c r="A3" s="156"/>
      <c r="B3" s="156"/>
      <c r="C3" s="156"/>
      <c r="D3" s="156"/>
      <c r="E3" s="156"/>
      <c r="F3" s="156"/>
      <c r="G3" s="156"/>
    </row>
    <row r="6" spans="1:9" ht="13.5" customHeight="1" x14ac:dyDescent="0.25">
      <c r="A6" s="718" t="s">
        <v>710</v>
      </c>
      <c r="B6" s="718"/>
      <c r="C6" s="493">
        <f>+'TR Matrice Cotisations '!E5</f>
        <v>0</v>
      </c>
    </row>
    <row r="7" spans="1:9" ht="13.8" x14ac:dyDescent="0.25">
      <c r="C7" s="264"/>
    </row>
    <row r="8" spans="1:9" ht="13.5" customHeight="1" x14ac:dyDescent="0.25">
      <c r="A8" s="718" t="s">
        <v>711</v>
      </c>
      <c r="B8" s="718"/>
      <c r="C8" s="494">
        <f>+'TR Matrice Cotisations '!E7</f>
        <v>0</v>
      </c>
    </row>
    <row r="9" spans="1:9" ht="13.8" x14ac:dyDescent="0.25">
      <c r="C9" s="264"/>
    </row>
    <row r="10" spans="1:9" ht="13.5" customHeight="1" x14ac:dyDescent="0.25">
      <c r="A10" s="718" t="s">
        <v>712</v>
      </c>
      <c r="B10" s="718"/>
      <c r="C10" s="494">
        <f>+'TR Matrice Cotisations '!E9</f>
        <v>0</v>
      </c>
      <c r="D10" s="757"/>
      <c r="E10" s="757"/>
      <c r="F10" s="757"/>
      <c r="G10" s="757"/>
    </row>
    <row r="12" spans="1:9" ht="13.5" customHeight="1" x14ac:dyDescent="0.25">
      <c r="D12" s="753" t="s">
        <v>713</v>
      </c>
      <c r="E12" s="753"/>
      <c r="F12" s="753"/>
      <c r="G12" s="753"/>
    </row>
    <row r="14" spans="1:9" ht="49.35" customHeight="1" x14ac:dyDescent="0.25">
      <c r="A14" s="718" t="s">
        <v>714</v>
      </c>
      <c r="B14" s="718"/>
      <c r="C14" s="495" t="str">
        <f>IF(C8&lt;=60%*C6,"Régle respectée","Régle non respectée")</f>
        <v>Régle respectée</v>
      </c>
      <c r="D14" s="496">
        <f>IF(C8-60%*C6&lt;0,0,C8)</f>
        <v>0</v>
      </c>
      <c r="E14" s="754" t="s">
        <v>715</v>
      </c>
      <c r="F14" s="754"/>
      <c r="G14" s="718" t="s">
        <v>716</v>
      </c>
    </row>
    <row r="15" spans="1:9" ht="13.5" customHeight="1" x14ac:dyDescent="0.25">
      <c r="C15" s="156"/>
      <c r="D15" s="264"/>
      <c r="G15" s="718"/>
      <c r="H15" s="718" t="s">
        <v>717</v>
      </c>
      <c r="I15" s="718"/>
    </row>
    <row r="16" spans="1:9" ht="39.75" customHeight="1" x14ac:dyDescent="0.25">
      <c r="A16" s="752" t="s">
        <v>718</v>
      </c>
      <c r="B16" s="752"/>
      <c r="C16" s="495" t="str">
        <f>IF(C8&gt;=50%*C6,"Régle respectée","Régle non respectée ")</f>
        <v>Régle respectée</v>
      </c>
      <c r="D16" s="496">
        <f>IF(C16="Régle respectée",0,C8)</f>
        <v>0</v>
      </c>
      <c r="E16" s="754" t="s">
        <v>715</v>
      </c>
      <c r="F16" s="754"/>
      <c r="G16" s="718"/>
      <c r="H16" s="718">
        <f>MAX(D14,D16,D18)</f>
        <v>0</v>
      </c>
      <c r="I16" s="718"/>
    </row>
    <row r="17" spans="1:7" ht="13.8" x14ac:dyDescent="0.25">
      <c r="C17" s="156"/>
      <c r="D17" s="264"/>
      <c r="G17" s="718"/>
    </row>
    <row r="18" spans="1:7" ht="35.549999999999997" customHeight="1" x14ac:dyDescent="0.25">
      <c r="A18" s="755" t="s">
        <v>719</v>
      </c>
      <c r="B18" s="755"/>
      <c r="C18" s="497" t="str">
        <f>IF(C8&gt;7.26,"Régle non respectée","Régle respectée ")</f>
        <v xml:space="preserve">Régle respectée </v>
      </c>
      <c r="D18" s="498">
        <f>IF(C8&lt;=7.26,0,C8-7.26)</f>
        <v>0</v>
      </c>
      <c r="E18" s="756" t="s">
        <v>720</v>
      </c>
      <c r="F18" s="756"/>
      <c r="G18" s="718"/>
    </row>
    <row r="20" spans="1:7" ht="13.8" hidden="1" x14ac:dyDescent="0.25"/>
    <row r="21" spans="1:7" ht="13.5" customHeight="1" x14ac:dyDescent="0.25">
      <c r="A21" s="718" t="s">
        <v>721</v>
      </c>
      <c r="B21" s="718"/>
      <c r="C21" s="264">
        <f>C6-C8</f>
        <v>0</v>
      </c>
    </row>
    <row r="23" spans="1:7" ht="13.5" customHeight="1" x14ac:dyDescent="0.25">
      <c r="A23" s="718" t="s">
        <v>722</v>
      </c>
      <c r="B23" s="718"/>
      <c r="C23" s="264">
        <f>C10</f>
        <v>0</v>
      </c>
    </row>
    <row r="25" spans="1:7" ht="13.5" customHeight="1" x14ac:dyDescent="0.25">
      <c r="A25" s="718" t="s">
        <v>723</v>
      </c>
      <c r="B25" s="718"/>
      <c r="C25" s="264">
        <f>C8*C23</f>
        <v>0</v>
      </c>
    </row>
    <row r="27" spans="1:7" ht="13.5" customHeight="1" x14ac:dyDescent="0.25">
      <c r="A27" s="718" t="s">
        <v>724</v>
      </c>
      <c r="B27" s="718"/>
      <c r="C27" s="264">
        <f>C21*C23</f>
        <v>0</v>
      </c>
    </row>
    <row r="29" spans="1:7" ht="13.5" customHeight="1" x14ac:dyDescent="0.25">
      <c r="A29" s="752" t="s">
        <v>725</v>
      </c>
      <c r="B29" s="752"/>
      <c r="C29" s="718">
        <f>MAX(D14,D16,D18)*C23</f>
        <v>0</v>
      </c>
    </row>
    <row r="30" spans="1:7" ht="13.8" x14ac:dyDescent="0.25">
      <c r="A30" s="752"/>
      <c r="B30" s="752"/>
      <c r="C30" s="718"/>
    </row>
    <row r="31" spans="1:7" ht="13.8" x14ac:dyDescent="0.25">
      <c r="A31" s="752"/>
      <c r="B31" s="752"/>
      <c r="C31" s="718"/>
    </row>
    <row r="32" spans="1:7" ht="13.8" hidden="1" x14ac:dyDescent="0.25">
      <c r="A32" s="752"/>
      <c r="B32" s="752"/>
      <c r="C32" s="718"/>
    </row>
    <row r="34" spans="3:3" ht="13.8" x14ac:dyDescent="0.25">
      <c r="C34" s="730"/>
    </row>
    <row r="35" spans="3:3" ht="13.8" x14ac:dyDescent="0.25">
      <c r="C35" s="730"/>
    </row>
    <row r="36" spans="3:3" ht="13.8" x14ac:dyDescent="0.25">
      <c r="C36" s="730"/>
    </row>
    <row r="37" spans="3:3" ht="13.8" x14ac:dyDescent="0.25">
      <c r="C37" s="730"/>
    </row>
  </sheetData>
  <mergeCells count="22">
    <mergeCell ref="A2:G2"/>
    <mergeCell ref="A6:B6"/>
    <mergeCell ref="A8:B8"/>
    <mergeCell ref="A10:B10"/>
    <mergeCell ref="D10:G10"/>
    <mergeCell ref="D12:G12"/>
    <mergeCell ref="A14:B14"/>
    <mergeCell ref="E14:F14"/>
    <mergeCell ref="G14:G18"/>
    <mergeCell ref="H15:I15"/>
    <mergeCell ref="A16:B16"/>
    <mergeCell ref="E16:F16"/>
    <mergeCell ref="H16:I16"/>
    <mergeCell ref="A18:B18"/>
    <mergeCell ref="E18:F18"/>
    <mergeCell ref="C29:C32"/>
    <mergeCell ref="C34:C37"/>
    <mergeCell ref="A21:B21"/>
    <mergeCell ref="A23:B23"/>
    <mergeCell ref="A25:B25"/>
    <mergeCell ref="A27:B27"/>
    <mergeCell ref="A29:B32"/>
  </mergeCells>
  <pageMargins left="0.7" right="0.7" top="0.75" bottom="0.75" header="0.511811023622047" footer="0.511811023622047"/>
  <pageSetup paperSize="9" orientation="portrait" horizontalDpi="300" verticalDpi="300"/>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I37"/>
  <sheetViews>
    <sheetView zoomScaleNormal="100" workbookViewId="0">
      <selection activeCell="E9" sqref="E9"/>
    </sheetView>
  </sheetViews>
  <sheetFormatPr baseColWidth="10" defaultColWidth="11.44140625" defaultRowHeight="15" customHeight="1" x14ac:dyDescent="0.3"/>
  <cols>
    <col min="1" max="2" width="11.44140625" style="9"/>
    <col min="3" max="3" width="37.33203125" style="9" customWidth="1"/>
    <col min="4" max="4" width="11.44140625" style="9"/>
    <col min="5" max="5" width="15.33203125" style="9" customWidth="1"/>
    <col min="6" max="6" width="11.44140625" style="9"/>
    <col min="7" max="8" width="23" style="9" customWidth="1"/>
    <col min="9" max="9" width="16.109375" style="9" customWidth="1"/>
    <col min="10" max="16384" width="11.44140625" style="9"/>
  </cols>
  <sheetData>
    <row r="1" spans="2:9" ht="15" customHeight="1" x14ac:dyDescent="0.3">
      <c r="B1" s="759" t="s">
        <v>726</v>
      </c>
      <c r="C1" s="759"/>
      <c r="D1" s="759"/>
      <c r="E1" s="759"/>
      <c r="F1" s="759"/>
      <c r="G1" s="759"/>
      <c r="H1" s="759"/>
      <c r="I1" s="759"/>
    </row>
    <row r="3" spans="2:9" ht="15.6" hidden="1" x14ac:dyDescent="0.3"/>
    <row r="4" spans="2:9" ht="15.6" x14ac:dyDescent="0.3">
      <c r="E4" s="75"/>
      <c r="G4" s="75"/>
    </row>
    <row r="5" spans="2:9" ht="15" customHeight="1" x14ac:dyDescent="0.3">
      <c r="B5" s="759" t="s">
        <v>710</v>
      </c>
      <c r="C5" s="759"/>
      <c r="E5" s="499">
        <f>'Masque de Saisie'!E50+'Masque de Saisie'!E51</f>
        <v>0</v>
      </c>
      <c r="G5" s="75"/>
    </row>
    <row r="6" spans="2:9" ht="15.6" x14ac:dyDescent="0.3">
      <c r="E6" s="476"/>
      <c r="G6" s="75"/>
    </row>
    <row r="7" spans="2:9" ht="15" customHeight="1" x14ac:dyDescent="0.3">
      <c r="B7" s="759" t="s">
        <v>711</v>
      </c>
      <c r="C7" s="759"/>
      <c r="E7" s="500">
        <f>+'Masque de Saisie'!E51</f>
        <v>0</v>
      </c>
      <c r="G7" s="75"/>
    </row>
    <row r="8" spans="2:9" ht="15.6" x14ac:dyDescent="0.3">
      <c r="E8" s="476"/>
      <c r="G8" s="75"/>
    </row>
    <row r="9" spans="2:9" ht="15" customHeight="1" x14ac:dyDescent="0.3">
      <c r="B9" s="759" t="s">
        <v>712</v>
      </c>
      <c r="C9" s="759"/>
      <c r="E9" s="501"/>
      <c r="G9" s="760" t="s">
        <v>727</v>
      </c>
      <c r="H9" s="760"/>
    </row>
    <row r="10" spans="2:9" ht="15.6" x14ac:dyDescent="0.3">
      <c r="E10" s="75"/>
      <c r="G10" s="75"/>
    </row>
    <row r="11" spans="2:9" ht="62.4" x14ac:dyDescent="0.3">
      <c r="E11" s="75"/>
      <c r="G11" s="416" t="s">
        <v>728</v>
      </c>
      <c r="H11" s="416" t="s">
        <v>729</v>
      </c>
    </row>
    <row r="12" spans="2:9" ht="15.6" x14ac:dyDescent="0.3">
      <c r="E12" s="75"/>
      <c r="G12" s="75"/>
    </row>
    <row r="13" spans="2:9" ht="40.950000000000003" customHeight="1" x14ac:dyDescent="0.3">
      <c r="B13" s="759" t="s">
        <v>730</v>
      </c>
      <c r="C13" s="759"/>
      <c r="E13" s="477" t="str">
        <f>IF(E7&lt;=60%*E5,"Régle respectée","Régle non respectée")</f>
        <v>Régle respectée</v>
      </c>
      <c r="G13" s="416">
        <f>IF(E7-60%*E5&lt;0,0,E7-60%*E5)</f>
        <v>0</v>
      </c>
      <c r="H13" s="759">
        <f>MAX(G13,G15,G17)</f>
        <v>0</v>
      </c>
    </row>
    <row r="14" spans="2:9" ht="15.6" x14ac:dyDescent="0.3">
      <c r="E14" s="476"/>
      <c r="G14" s="416"/>
      <c r="H14" s="759"/>
    </row>
    <row r="15" spans="2:9" ht="40.950000000000003" customHeight="1" x14ac:dyDescent="0.3">
      <c r="B15" s="759" t="s">
        <v>731</v>
      </c>
      <c r="C15" s="759"/>
      <c r="E15" s="477" t="str">
        <f>IF(E7&gt;=50%*E5,"Régle respectée","Régle non respectée ")</f>
        <v>Régle respectée</v>
      </c>
      <c r="G15" s="416">
        <f>IF(E15="Régle respectée",0,50%*E5-E7)</f>
        <v>0</v>
      </c>
      <c r="H15" s="759"/>
    </row>
    <row r="16" spans="2:9" ht="15.6" x14ac:dyDescent="0.3">
      <c r="E16" s="476"/>
      <c r="G16" s="416"/>
      <c r="H16" s="759"/>
    </row>
    <row r="17" spans="2:8" ht="40.950000000000003" customHeight="1" x14ac:dyDescent="0.3">
      <c r="B17" s="759" t="s">
        <v>732</v>
      </c>
      <c r="C17" s="759"/>
      <c r="E17" s="477" t="str">
        <f>IF(E7&gt;7.26,"Régle non respectée","Régle respectée ")</f>
        <v xml:space="preserve">Régle respectée </v>
      </c>
      <c r="G17" s="416">
        <f>IF(E7&lt;=7.26,0,E7-7.26)</f>
        <v>0</v>
      </c>
      <c r="H17" s="759"/>
    </row>
    <row r="18" spans="2:8" ht="15.6" x14ac:dyDescent="0.3">
      <c r="E18" s="75"/>
      <c r="G18" s="75"/>
    </row>
    <row r="19" spans="2:8" ht="15" customHeight="1" x14ac:dyDescent="0.3">
      <c r="B19" s="759" t="s">
        <v>721</v>
      </c>
      <c r="C19" s="759"/>
      <c r="E19" s="416">
        <f>E5-E7</f>
        <v>0</v>
      </c>
      <c r="G19" s="75"/>
    </row>
    <row r="20" spans="2:8" ht="15.6" x14ac:dyDescent="0.3">
      <c r="E20" s="75"/>
      <c r="G20" s="75"/>
    </row>
    <row r="21" spans="2:8" ht="15" customHeight="1" x14ac:dyDescent="0.3">
      <c r="B21" s="759" t="s">
        <v>722</v>
      </c>
      <c r="C21" s="759"/>
      <c r="E21" s="416">
        <f>E9</f>
        <v>0</v>
      </c>
      <c r="G21" s="75"/>
    </row>
    <row r="22" spans="2:8" ht="15.6" x14ac:dyDescent="0.3">
      <c r="E22" s="75"/>
      <c r="G22" s="75"/>
    </row>
    <row r="23" spans="2:8" ht="15" customHeight="1" x14ac:dyDescent="0.3">
      <c r="B23" s="759" t="s">
        <v>723</v>
      </c>
      <c r="C23" s="759"/>
      <c r="E23" s="416">
        <f>E7*E21</f>
        <v>0</v>
      </c>
      <c r="G23" s="75"/>
    </row>
    <row r="24" spans="2:8" ht="15.6" x14ac:dyDescent="0.3">
      <c r="E24" s="75"/>
      <c r="G24" s="75"/>
    </row>
    <row r="25" spans="2:8" ht="15" customHeight="1" x14ac:dyDescent="0.3">
      <c r="B25" s="759" t="s">
        <v>724</v>
      </c>
      <c r="C25" s="759"/>
      <c r="E25" s="416">
        <f>E19*E21</f>
        <v>0</v>
      </c>
      <c r="G25" s="75"/>
    </row>
    <row r="26" spans="2:8" ht="15.6" x14ac:dyDescent="0.3">
      <c r="E26" s="75"/>
      <c r="G26" s="75"/>
    </row>
    <row r="27" spans="2:8" ht="15" customHeight="1" x14ac:dyDescent="0.3">
      <c r="B27" s="759" t="s">
        <v>733</v>
      </c>
      <c r="C27" s="759"/>
      <c r="E27" s="75"/>
      <c r="G27" s="75"/>
    </row>
    <row r="28" spans="2:8" ht="15.6" x14ac:dyDescent="0.3">
      <c r="B28" s="759"/>
      <c r="C28" s="759"/>
      <c r="E28" s="759">
        <f>MAX(G17,G15,G13)*E21</f>
        <v>0</v>
      </c>
      <c r="G28" s="75"/>
    </row>
    <row r="29" spans="2:8" ht="15.6" x14ac:dyDescent="0.3">
      <c r="B29" s="759"/>
      <c r="C29" s="759"/>
      <c r="E29" s="759"/>
      <c r="G29" s="75"/>
    </row>
    <row r="30" spans="2:8" ht="15.6" x14ac:dyDescent="0.3">
      <c r="B30" s="759"/>
      <c r="C30" s="759"/>
      <c r="E30" s="75"/>
      <c r="G30" s="75"/>
    </row>
    <row r="31" spans="2:8" ht="15.6" x14ac:dyDescent="0.3">
      <c r="E31" s="75"/>
      <c r="G31" s="75"/>
    </row>
    <row r="32" spans="2:8" ht="15.6" x14ac:dyDescent="0.3">
      <c r="E32" s="758"/>
      <c r="G32" s="75"/>
    </row>
    <row r="33" spans="5:7" ht="15.6" x14ac:dyDescent="0.3">
      <c r="E33" s="758"/>
      <c r="G33" s="75"/>
    </row>
    <row r="34" spans="5:7" ht="15.6" x14ac:dyDescent="0.3">
      <c r="E34" s="758"/>
      <c r="G34" s="75"/>
    </row>
    <row r="35" spans="5:7" ht="15.6" x14ac:dyDescent="0.3">
      <c r="E35" s="758"/>
      <c r="G35" s="75"/>
    </row>
    <row r="36" spans="5:7" ht="15.6" x14ac:dyDescent="0.3">
      <c r="E36" s="75"/>
      <c r="G36" s="75"/>
    </row>
    <row r="37" spans="5:7" ht="15.6" x14ac:dyDescent="0.3">
      <c r="E37" s="75"/>
      <c r="G37" s="75"/>
    </row>
  </sheetData>
  <mergeCells count="16">
    <mergeCell ref="B1:I1"/>
    <mergeCell ref="B5:C5"/>
    <mergeCell ref="B7:C7"/>
    <mergeCell ref="B9:C9"/>
    <mergeCell ref="G9:H9"/>
    <mergeCell ref="B13:C13"/>
    <mergeCell ref="H13:H17"/>
    <mergeCell ref="B15:C15"/>
    <mergeCell ref="B17:C17"/>
    <mergeCell ref="B19:C19"/>
    <mergeCell ref="E32:E35"/>
    <mergeCell ref="B21:C21"/>
    <mergeCell ref="B23:C23"/>
    <mergeCell ref="B25:C25"/>
    <mergeCell ref="B27:C30"/>
    <mergeCell ref="E28:E29"/>
  </mergeCells>
  <pageMargins left="0.7" right="0.7" top="0.75" bottom="0.75"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22"/>
  <sheetViews>
    <sheetView topLeftCell="A8" zoomScaleNormal="100" workbookViewId="0">
      <selection activeCell="C16" sqref="C16:C17"/>
    </sheetView>
  </sheetViews>
  <sheetFormatPr baseColWidth="10" defaultColWidth="11.44140625" defaultRowHeight="13.5" customHeight="1" x14ac:dyDescent="0.25"/>
  <cols>
    <col min="1" max="1" width="6" style="6" customWidth="1"/>
    <col min="2" max="3" width="13.88671875" style="6" customWidth="1"/>
    <col min="4" max="4" width="16.33203125" style="6" customWidth="1"/>
    <col min="5" max="9" width="13.88671875" style="6" customWidth="1"/>
    <col min="10" max="11" width="8.44140625" style="6" customWidth="1"/>
    <col min="12" max="12" width="4.5546875" style="6" customWidth="1"/>
    <col min="13" max="16384" width="11.44140625" style="6"/>
  </cols>
  <sheetData>
    <row r="1" spans="1:13" s="502" customFormat="1" ht="15" customHeight="1" x14ac:dyDescent="0.25">
      <c r="B1" s="768" t="s">
        <v>734</v>
      </c>
      <c r="C1" s="768"/>
      <c r="D1" s="768"/>
      <c r="E1" s="768"/>
      <c r="F1" s="768"/>
      <c r="G1" s="768"/>
      <c r="H1" s="768"/>
      <c r="I1" s="768"/>
      <c r="J1" s="768"/>
      <c r="K1" s="768"/>
      <c r="L1" s="768"/>
      <c r="M1" s="768"/>
    </row>
    <row r="2" spans="1:13" s="502" customFormat="1" ht="22.5" customHeight="1" x14ac:dyDescent="0.25">
      <c r="B2" s="769" t="s">
        <v>735</v>
      </c>
      <c r="C2" s="769"/>
      <c r="D2" s="769"/>
      <c r="E2" s="769"/>
      <c r="F2" s="769"/>
      <c r="G2" s="769"/>
      <c r="H2" s="769"/>
      <c r="I2" s="769"/>
      <c r="J2" s="769"/>
      <c r="K2" s="769"/>
      <c r="L2" s="769"/>
      <c r="M2" s="769"/>
    </row>
    <row r="3" spans="1:13" ht="13.8" x14ac:dyDescent="0.25">
      <c r="B3" s="184" t="s">
        <v>485</v>
      </c>
      <c r="C3" s="184" t="s">
        <v>237</v>
      </c>
      <c r="D3" s="184" t="s">
        <v>486</v>
      </c>
      <c r="E3" s="184" t="s">
        <v>487</v>
      </c>
      <c r="F3" s="184" t="s">
        <v>535</v>
      </c>
      <c r="G3" s="184" t="s">
        <v>536</v>
      </c>
      <c r="H3" s="184"/>
      <c r="I3" s="184" t="s">
        <v>736</v>
      </c>
      <c r="J3" s="184" t="s">
        <v>737</v>
      </c>
      <c r="K3" s="184" t="s">
        <v>738</v>
      </c>
      <c r="L3" s="264">
        <v>1</v>
      </c>
    </row>
    <row r="4" spans="1:13" ht="13.8" x14ac:dyDescent="0.25">
      <c r="B4" s="763" t="s">
        <v>739</v>
      </c>
      <c r="C4" s="763"/>
      <c r="D4" s="763"/>
      <c r="E4" s="503">
        <f>IF(E6&gt;=E11,0.3193,0.3194)</f>
        <v>0.31929999999999997</v>
      </c>
      <c r="F4" s="504" t="s">
        <v>740</v>
      </c>
      <c r="L4" s="264">
        <v>2</v>
      </c>
    </row>
    <row r="5" spans="1:13" ht="13.8" x14ac:dyDescent="0.25">
      <c r="B5" s="763" t="s">
        <v>741</v>
      </c>
      <c r="C5" s="763"/>
      <c r="D5" s="763"/>
      <c r="E5" s="190">
        <f>IF(E6&lt;E11,0.3234,0.3233)</f>
        <v>0.32329999999999998</v>
      </c>
      <c r="F5" s="184" t="s">
        <v>740</v>
      </c>
      <c r="L5" s="264">
        <v>3</v>
      </c>
    </row>
    <row r="6" spans="1:13" ht="13.8" x14ac:dyDescent="0.25">
      <c r="B6" s="763" t="s">
        <v>742</v>
      </c>
      <c r="C6" s="763"/>
      <c r="D6" s="763"/>
      <c r="E6" s="505">
        <f>'BP FORMAT JUILLET 2023'!H10</f>
        <v>45931</v>
      </c>
      <c r="F6" s="232"/>
      <c r="L6" s="264"/>
    </row>
    <row r="7" spans="1:13" ht="13.8" x14ac:dyDescent="0.25">
      <c r="B7" s="763" t="s">
        <v>743</v>
      </c>
      <c r="C7" s="763"/>
      <c r="D7" s="763"/>
      <c r="E7" s="506">
        <f>'BP VERSION JANVIER 2023'!B9</f>
        <v>30</v>
      </c>
      <c r="F7" s="232"/>
      <c r="L7" s="264">
        <v>4</v>
      </c>
    </row>
    <row r="8" spans="1:13" ht="13.8" x14ac:dyDescent="0.25">
      <c r="B8" s="763" t="s">
        <v>246</v>
      </c>
      <c r="C8" s="763"/>
      <c r="D8" s="763"/>
      <c r="E8" s="506">
        <f>'BP VERSION JANVIER 2023'!D10</f>
        <v>11.88</v>
      </c>
      <c r="F8" s="767" t="s">
        <v>744</v>
      </c>
      <c r="G8" s="767"/>
      <c r="H8" s="767"/>
      <c r="I8" s="767"/>
      <c r="L8" s="264">
        <v>5</v>
      </c>
    </row>
    <row r="9" spans="1:13" ht="13.8" x14ac:dyDescent="0.25">
      <c r="B9" s="763" t="s">
        <v>745</v>
      </c>
      <c r="C9" s="763"/>
      <c r="D9" s="763"/>
      <c r="E9" s="506">
        <f>'BP VERSION JANVIER 2023'!B10</f>
        <v>151.66999999999999</v>
      </c>
      <c r="F9" s="232"/>
      <c r="L9" s="264">
        <v>6</v>
      </c>
    </row>
    <row r="10" spans="1:13" ht="13.8" x14ac:dyDescent="0.25">
      <c r="B10" s="763" t="s">
        <v>746</v>
      </c>
      <c r="C10" s="763"/>
      <c r="D10" s="763"/>
      <c r="E10" s="507">
        <f>'BP VERSION JANVIER 2023'!J33</f>
        <v>3262.3</v>
      </c>
      <c r="F10" s="232"/>
      <c r="L10" s="264"/>
    </row>
    <row r="11" spans="1:13" ht="13.8" x14ac:dyDescent="0.25">
      <c r="B11" s="763" t="s">
        <v>747</v>
      </c>
      <c r="C11" s="763"/>
      <c r="D11" s="763"/>
      <c r="E11" s="408">
        <v>45778</v>
      </c>
      <c r="L11" s="264">
        <v>7</v>
      </c>
    </row>
    <row r="12" spans="1:13" ht="30.75" customHeight="1" x14ac:dyDescent="0.25">
      <c r="B12" s="764" t="s">
        <v>748</v>
      </c>
      <c r="C12" s="764"/>
      <c r="D12" s="764"/>
      <c r="E12" s="764"/>
      <c r="F12" s="764"/>
      <c r="G12" s="764"/>
      <c r="H12" s="764"/>
      <c r="I12" s="764"/>
      <c r="J12" s="764"/>
      <c r="K12" s="764"/>
      <c r="L12" s="264">
        <v>8</v>
      </c>
    </row>
    <row r="13" spans="1:13" ht="30.75" customHeight="1" x14ac:dyDescent="0.25">
      <c r="A13" s="431"/>
      <c r="B13" s="718" t="s">
        <v>746</v>
      </c>
      <c r="C13" s="718" t="s">
        <v>749</v>
      </c>
      <c r="D13" s="718" t="s">
        <v>356</v>
      </c>
      <c r="E13" s="264" t="s">
        <v>534</v>
      </c>
      <c r="F13" s="718" t="s">
        <v>750</v>
      </c>
      <c r="G13" s="718" t="s">
        <v>751</v>
      </c>
      <c r="H13" s="718" t="s">
        <v>752</v>
      </c>
      <c r="I13" s="718" t="s">
        <v>753</v>
      </c>
      <c r="J13" s="765" t="s">
        <v>754</v>
      </c>
      <c r="K13" s="765"/>
      <c r="L13" s="264">
        <v>9</v>
      </c>
    </row>
    <row r="14" spans="1:13" ht="30.75" customHeight="1" x14ac:dyDescent="0.25">
      <c r="B14" s="718"/>
      <c r="C14" s="718"/>
      <c r="D14" s="718"/>
      <c r="E14" s="762" t="s">
        <v>755</v>
      </c>
      <c r="F14" s="718"/>
      <c r="G14" s="718"/>
      <c r="H14" s="718"/>
      <c r="I14" s="718"/>
      <c r="J14" s="718"/>
      <c r="K14" s="765"/>
      <c r="L14" s="264">
        <v>10</v>
      </c>
    </row>
    <row r="15" spans="1:13" ht="30.75" customHeight="1" x14ac:dyDescent="0.25">
      <c r="B15" s="718"/>
      <c r="C15" s="718"/>
      <c r="D15" s="718"/>
      <c r="E15" s="718"/>
      <c r="F15" s="718"/>
      <c r="G15" s="718"/>
      <c r="H15" s="718"/>
      <c r="I15" s="718"/>
      <c r="J15" s="718"/>
      <c r="K15" s="765"/>
      <c r="L15" s="264">
        <v>11</v>
      </c>
    </row>
    <row r="16" spans="1:13" ht="30.75" customHeight="1" x14ac:dyDescent="0.25">
      <c r="B16" s="762">
        <f>E10</f>
        <v>3262.3</v>
      </c>
      <c r="C16" s="762">
        <f>E9</f>
        <v>151.66999999999999</v>
      </c>
      <c r="D16" s="762">
        <f>E8</f>
        <v>11.88</v>
      </c>
      <c r="E16" s="762">
        <f>1.6*D16*C16</f>
        <v>2882.9433600000002</v>
      </c>
      <c r="F16" s="762">
        <f>E16/B16</f>
        <v>0.88371497409802902</v>
      </c>
      <c r="G16" s="762">
        <f>IF(F16&lt;=1,0,F16-1)</f>
        <v>0</v>
      </c>
      <c r="H16" s="762">
        <f>ROUND(IF(E7&lt;50,E4*G16/0.6,E5*G16/0.6),4)</f>
        <v>0</v>
      </c>
      <c r="I16" s="762">
        <f>IF(E7&gt;50,MIN(H16,E5),MIN(H16,E4))</f>
        <v>0</v>
      </c>
      <c r="J16" s="766">
        <f>ROUND(I16*B16,2)</f>
        <v>0</v>
      </c>
      <c r="K16" s="766"/>
      <c r="L16" s="264">
        <v>12</v>
      </c>
    </row>
    <row r="17" spans="1:12" ht="30.75" customHeight="1" x14ac:dyDescent="0.25">
      <c r="B17" s="762"/>
      <c r="C17" s="762"/>
      <c r="D17" s="762"/>
      <c r="E17" s="762"/>
      <c r="F17" s="762"/>
      <c r="G17" s="762"/>
      <c r="H17" s="762"/>
      <c r="I17" s="762"/>
      <c r="J17" s="766"/>
      <c r="K17" s="766"/>
      <c r="L17" s="264">
        <v>13</v>
      </c>
    </row>
    <row r="18" spans="1:12" ht="29.25" customHeight="1" x14ac:dyDescent="0.25">
      <c r="A18" s="431"/>
      <c r="B18" s="730"/>
      <c r="C18" s="730"/>
      <c r="D18" s="730"/>
      <c r="E18" s="156"/>
      <c r="F18" s="730"/>
      <c r="G18" s="730"/>
      <c r="H18" s="156"/>
      <c r="I18" s="730"/>
      <c r="J18" s="730"/>
      <c r="K18" s="730"/>
      <c r="L18" s="156"/>
    </row>
    <row r="19" spans="1:12" ht="29.25" customHeight="1" x14ac:dyDescent="0.25">
      <c r="B19" s="730"/>
      <c r="C19" s="730"/>
      <c r="D19" s="730"/>
      <c r="E19" s="730"/>
      <c r="F19" s="730"/>
      <c r="G19" s="730"/>
      <c r="H19" s="156"/>
      <c r="I19" s="730"/>
      <c r="J19" s="730"/>
      <c r="K19" s="730"/>
      <c r="L19" s="156"/>
    </row>
    <row r="20" spans="1:12" ht="29.25" customHeight="1" x14ac:dyDescent="0.25">
      <c r="B20" s="730"/>
      <c r="C20" s="730"/>
      <c r="D20" s="730"/>
      <c r="E20" s="730"/>
      <c r="F20" s="730"/>
      <c r="G20" s="730"/>
      <c r="H20" s="156"/>
      <c r="I20" s="730"/>
      <c r="J20" s="730"/>
      <c r="K20" s="730"/>
      <c r="L20" s="156"/>
    </row>
    <row r="21" spans="1:12" ht="29.25" customHeight="1" x14ac:dyDescent="0.25">
      <c r="B21" s="730"/>
      <c r="C21" s="730"/>
      <c r="D21" s="730"/>
      <c r="E21" s="730"/>
      <c r="F21" s="730"/>
      <c r="G21" s="730"/>
      <c r="H21" s="156"/>
      <c r="I21" s="730"/>
      <c r="J21" s="761"/>
      <c r="K21" s="761"/>
      <c r="L21" s="156"/>
    </row>
    <row r="22" spans="1:12" ht="29.25" customHeight="1" x14ac:dyDescent="0.25">
      <c r="B22" s="730"/>
      <c r="C22" s="730"/>
      <c r="D22" s="730"/>
      <c r="E22" s="730"/>
      <c r="F22" s="730"/>
      <c r="G22" s="730"/>
      <c r="H22" s="156"/>
      <c r="I22" s="730"/>
      <c r="J22" s="761"/>
      <c r="K22" s="761"/>
      <c r="L22" s="156"/>
    </row>
  </sheetData>
  <mergeCells count="46">
    <mergeCell ref="B1:M1"/>
    <mergeCell ref="B2:M2"/>
    <mergeCell ref="B4:D4"/>
    <mergeCell ref="B5:D5"/>
    <mergeCell ref="B6:D6"/>
    <mergeCell ref="J16:K17"/>
    <mergeCell ref="B7:D7"/>
    <mergeCell ref="B8:D8"/>
    <mergeCell ref="F8:I8"/>
    <mergeCell ref="B9:D9"/>
    <mergeCell ref="B10:D10"/>
    <mergeCell ref="B11:D11"/>
    <mergeCell ref="B12:K12"/>
    <mergeCell ref="B13:B15"/>
    <mergeCell ref="C13:C15"/>
    <mergeCell ref="D13:D15"/>
    <mergeCell ref="F13:F15"/>
    <mergeCell ref="G13:G15"/>
    <mergeCell ref="H13:H15"/>
    <mergeCell ref="I13:I15"/>
    <mergeCell ref="J13:K15"/>
    <mergeCell ref="E14:E15"/>
    <mergeCell ref="I18:I20"/>
    <mergeCell ref="J18:K20"/>
    <mergeCell ref="E19:E20"/>
    <mergeCell ref="B16:B17"/>
    <mergeCell ref="C16:C17"/>
    <mergeCell ref="D16:D17"/>
    <mergeCell ref="E16:E17"/>
    <mergeCell ref="B18:B20"/>
    <mergeCell ref="C18:C20"/>
    <mergeCell ref="D18:D20"/>
    <mergeCell ref="F18:F20"/>
    <mergeCell ref="G18:G20"/>
    <mergeCell ref="F16:F17"/>
    <mergeCell ref="G16:G17"/>
    <mergeCell ref="H16:H17"/>
    <mergeCell ref="I16:I17"/>
    <mergeCell ref="G21:G22"/>
    <mergeCell ref="I21:I22"/>
    <mergeCell ref="J21:K22"/>
    <mergeCell ref="B21:B22"/>
    <mergeCell ref="C21:C22"/>
    <mergeCell ref="D21:D22"/>
    <mergeCell ref="E21:E22"/>
    <mergeCell ref="F21:F22"/>
  </mergeCells>
  <pageMargins left="0.70833333333333304" right="0.70833333333333304" top="0.74791666666666701" bottom="0.74791666666666701" header="0.511811023622047" footer="0.511811023622047"/>
  <pageSetup paperSize="9" scale="85" orientation="landscape"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26"/>
  <sheetViews>
    <sheetView topLeftCell="A8" zoomScale="110" zoomScaleNormal="110" workbookViewId="0">
      <selection activeCell="H19" sqref="H19"/>
    </sheetView>
  </sheetViews>
  <sheetFormatPr baseColWidth="10" defaultColWidth="11.44140625" defaultRowHeight="13.5" customHeight="1" x14ac:dyDescent="0.25"/>
  <cols>
    <col min="1" max="1" width="6" style="6" customWidth="1"/>
    <col min="2" max="3" width="13.88671875" style="6" customWidth="1"/>
    <col min="4" max="4" width="19" style="6" customWidth="1"/>
    <col min="5" max="9" width="13.88671875" style="6" customWidth="1"/>
    <col min="10" max="11" width="8.44140625" style="6" customWidth="1"/>
    <col min="12" max="12" width="4.5546875" style="6" customWidth="1"/>
    <col min="13" max="16384" width="11.44140625" style="6"/>
  </cols>
  <sheetData>
    <row r="1" spans="1:13" s="502" customFormat="1" ht="15" customHeight="1" x14ac:dyDescent="0.25">
      <c r="B1" s="768" t="s">
        <v>734</v>
      </c>
      <c r="C1" s="768"/>
      <c r="D1" s="768"/>
      <c r="E1" s="768"/>
      <c r="F1" s="768"/>
      <c r="G1" s="768"/>
      <c r="H1" s="768"/>
      <c r="I1" s="768"/>
      <c r="J1" s="768"/>
      <c r="K1" s="768"/>
      <c r="L1" s="768"/>
      <c r="M1" s="768"/>
    </row>
    <row r="2" spans="1:13" s="502" customFormat="1" ht="22.5" customHeight="1" x14ac:dyDescent="0.25">
      <c r="B2" s="769" t="s">
        <v>735</v>
      </c>
      <c r="C2" s="769"/>
      <c r="D2" s="769"/>
      <c r="E2" s="769"/>
      <c r="F2" s="769"/>
      <c r="G2" s="769"/>
      <c r="H2" s="769"/>
      <c r="I2" s="769"/>
      <c r="J2" s="769"/>
      <c r="K2" s="769"/>
      <c r="L2" s="769"/>
      <c r="M2" s="769"/>
    </row>
    <row r="3" spans="1:13" ht="13.8" x14ac:dyDescent="0.25">
      <c r="B3" s="184" t="s">
        <v>485</v>
      </c>
      <c r="C3" s="184" t="s">
        <v>237</v>
      </c>
      <c r="D3" s="184" t="s">
        <v>486</v>
      </c>
      <c r="E3" s="184" t="s">
        <v>487</v>
      </c>
      <c r="F3" s="184" t="s">
        <v>535</v>
      </c>
      <c r="G3" s="184" t="s">
        <v>536</v>
      </c>
      <c r="H3" s="184"/>
      <c r="I3" s="184" t="s">
        <v>736</v>
      </c>
      <c r="J3" s="184" t="s">
        <v>737</v>
      </c>
      <c r="K3" s="184" t="s">
        <v>738</v>
      </c>
      <c r="L3" s="264">
        <v>1</v>
      </c>
    </row>
    <row r="4" spans="1:13" ht="13.8" x14ac:dyDescent="0.25">
      <c r="B4" s="711" t="s">
        <v>739</v>
      </c>
      <c r="C4" s="711"/>
      <c r="D4" s="711"/>
      <c r="E4" s="184">
        <f>IF(E6&gt;=E11,0.3193,0.3194)</f>
        <v>0.31929999999999997</v>
      </c>
      <c r="F4" s="503" t="s">
        <v>740</v>
      </c>
      <c r="L4" s="264">
        <v>2</v>
      </c>
    </row>
    <row r="5" spans="1:13" ht="13.8" x14ac:dyDescent="0.25">
      <c r="B5" s="711" t="s">
        <v>741</v>
      </c>
      <c r="C5" s="711"/>
      <c r="D5" s="711"/>
      <c r="E5" s="184">
        <f>IF(E6&lt;E11,0.3234,0.3233)</f>
        <v>0.32329999999999998</v>
      </c>
      <c r="F5" s="190" t="s">
        <v>740</v>
      </c>
      <c r="L5" s="264">
        <v>3</v>
      </c>
    </row>
    <row r="6" spans="1:13" ht="13.8" x14ac:dyDescent="0.25">
      <c r="B6" s="711" t="s">
        <v>756</v>
      </c>
      <c r="C6" s="711"/>
      <c r="D6" s="711"/>
      <c r="E6" s="508">
        <f>'BP FORMAT JUILLET 2023'!H10</f>
        <v>45931</v>
      </c>
      <c r="F6" s="232"/>
      <c r="L6" s="264"/>
    </row>
    <row r="7" spans="1:13" ht="13.8" x14ac:dyDescent="0.25">
      <c r="B7" s="711" t="s">
        <v>743</v>
      </c>
      <c r="C7" s="711"/>
      <c r="D7" s="711"/>
      <c r="E7" s="506">
        <f>'BP FORMAT JUILLET 2023'!B9</f>
        <v>30</v>
      </c>
      <c r="F7" s="232"/>
      <c r="L7" s="264">
        <v>4</v>
      </c>
    </row>
    <row r="8" spans="1:13" ht="13.8" x14ac:dyDescent="0.25">
      <c r="B8" s="711" t="s">
        <v>246</v>
      </c>
      <c r="C8" s="711"/>
      <c r="D8" s="711"/>
      <c r="E8" s="506">
        <f>'BP FORMAT JUILLET 2023'!D10</f>
        <v>11.88</v>
      </c>
      <c r="F8" s="767" t="s">
        <v>757</v>
      </c>
      <c r="G8" s="767"/>
      <c r="H8" s="767"/>
      <c r="I8" s="767"/>
      <c r="L8" s="264">
        <v>5</v>
      </c>
    </row>
    <row r="9" spans="1:13" ht="13.8" x14ac:dyDescent="0.25">
      <c r="B9" s="711" t="s">
        <v>745</v>
      </c>
      <c r="C9" s="711"/>
      <c r="D9" s="711"/>
      <c r="E9" s="506">
        <f>'BP FORMAT JUILLET 2023'!B10</f>
        <v>151.66999999999999</v>
      </c>
      <c r="F9" s="232"/>
      <c r="L9" s="264">
        <v>6</v>
      </c>
    </row>
    <row r="10" spans="1:13" ht="13.8" x14ac:dyDescent="0.25">
      <c r="B10" s="711" t="s">
        <v>746</v>
      </c>
      <c r="C10" s="711"/>
      <c r="D10" s="711"/>
      <c r="E10" s="509">
        <f>'BP FORMAT JUILLET 2023'!J33</f>
        <v>3262.3</v>
      </c>
      <c r="F10" s="232"/>
      <c r="L10" s="264"/>
    </row>
    <row r="11" spans="1:13" ht="13.8" x14ac:dyDescent="0.25">
      <c r="B11" s="763" t="s">
        <v>747</v>
      </c>
      <c r="C11" s="763"/>
      <c r="D11" s="763"/>
      <c r="E11" s="408">
        <v>45778</v>
      </c>
      <c r="L11" s="264">
        <v>7</v>
      </c>
    </row>
    <row r="12" spans="1:13" ht="30.75" customHeight="1" x14ac:dyDescent="0.25">
      <c r="B12" s="771" t="s">
        <v>748</v>
      </c>
      <c r="C12" s="771"/>
      <c r="D12" s="771"/>
      <c r="E12" s="771"/>
      <c r="F12" s="771"/>
      <c r="G12" s="771"/>
      <c r="H12" s="771"/>
      <c r="I12" s="771"/>
      <c r="J12" s="771"/>
      <c r="K12" s="771"/>
      <c r="L12" s="264">
        <v>8</v>
      </c>
    </row>
    <row r="13" spans="1:13" ht="30.75" customHeight="1" x14ac:dyDescent="0.25">
      <c r="A13" s="431"/>
      <c r="B13" s="718" t="s">
        <v>746</v>
      </c>
      <c r="C13" s="718" t="s">
        <v>749</v>
      </c>
      <c r="D13" s="718" t="s">
        <v>356</v>
      </c>
      <c r="E13" s="264" t="s">
        <v>534</v>
      </c>
      <c r="F13" s="718" t="s">
        <v>750</v>
      </c>
      <c r="G13" s="718" t="s">
        <v>751</v>
      </c>
      <c r="H13" s="718" t="s">
        <v>752</v>
      </c>
      <c r="I13" s="718" t="s">
        <v>758</v>
      </c>
      <c r="J13" s="765" t="s">
        <v>754</v>
      </c>
      <c r="K13" s="765"/>
      <c r="L13" s="264">
        <v>9</v>
      </c>
    </row>
    <row r="14" spans="1:13" ht="30.75" customHeight="1" x14ac:dyDescent="0.25">
      <c r="B14" s="718"/>
      <c r="C14" s="718"/>
      <c r="D14" s="718"/>
      <c r="E14" s="762" t="s">
        <v>755</v>
      </c>
      <c r="F14" s="718"/>
      <c r="G14" s="718"/>
      <c r="H14" s="718"/>
      <c r="I14" s="718"/>
      <c r="J14" s="718"/>
      <c r="K14" s="765"/>
      <c r="L14" s="264">
        <v>10</v>
      </c>
    </row>
    <row r="15" spans="1:13" ht="30.75" customHeight="1" x14ac:dyDescent="0.25">
      <c r="B15" s="718"/>
      <c r="C15" s="718"/>
      <c r="D15" s="718"/>
      <c r="E15" s="718"/>
      <c r="F15" s="718"/>
      <c r="G15" s="718"/>
      <c r="H15" s="718"/>
      <c r="I15" s="718"/>
      <c r="J15" s="718"/>
      <c r="K15" s="765"/>
      <c r="L15" s="264">
        <v>11</v>
      </c>
    </row>
    <row r="16" spans="1:13" ht="30.75" customHeight="1" x14ac:dyDescent="0.25">
      <c r="B16" s="770">
        <f>+E10</f>
        <v>3262.3</v>
      </c>
      <c r="C16" s="762">
        <f>E9</f>
        <v>151.66999999999999</v>
      </c>
      <c r="D16" s="762">
        <f>E8</f>
        <v>11.88</v>
      </c>
      <c r="E16" s="762">
        <f>1.6*D16*C16</f>
        <v>2882.9433600000002</v>
      </c>
      <c r="F16" s="762">
        <f>E16/B16</f>
        <v>0.88371497409802902</v>
      </c>
      <c r="G16" s="762">
        <f>IF(F16&lt;=1,0,F16-1)</f>
        <v>0</v>
      </c>
      <c r="H16" s="762">
        <f>ROUND(IF(E7&lt;50,E4*G16/0.6,E5*G16/0.6),4)</f>
        <v>0</v>
      </c>
      <c r="I16" s="762">
        <f>IF(E7&gt;50,MIN(E5,H16),MIN(H16,E4))</f>
        <v>0</v>
      </c>
      <c r="J16" s="766">
        <f>ROUND(I16*B16,2)</f>
        <v>0</v>
      </c>
      <c r="K16" s="766"/>
      <c r="L16" s="264">
        <v>12</v>
      </c>
    </row>
    <row r="17" spans="1:12" ht="30.75" customHeight="1" x14ac:dyDescent="0.25">
      <c r="B17" s="770"/>
      <c r="C17" s="770"/>
      <c r="D17" s="770"/>
      <c r="E17" s="770"/>
      <c r="F17" s="770"/>
      <c r="G17" s="770"/>
      <c r="H17" s="770"/>
      <c r="I17" s="770"/>
      <c r="J17" s="766"/>
      <c r="K17" s="766"/>
      <c r="L17" s="264">
        <v>13</v>
      </c>
    </row>
    <row r="21" spans="1:12" ht="27.75" customHeight="1" x14ac:dyDescent="0.25"/>
    <row r="22" spans="1:12" ht="29.25" customHeight="1" x14ac:dyDescent="0.25">
      <c r="A22" s="431"/>
      <c r="B22" s="730"/>
      <c r="C22" s="730"/>
      <c r="D22" s="730"/>
      <c r="E22" s="156"/>
      <c r="F22" s="730"/>
      <c r="G22" s="730"/>
      <c r="H22" s="156"/>
      <c r="I22" s="730"/>
      <c r="J22" s="730"/>
      <c r="K22" s="730"/>
      <c r="L22" s="156"/>
    </row>
    <row r="23" spans="1:12" ht="29.25" customHeight="1" x14ac:dyDescent="0.25">
      <c r="B23" s="730"/>
      <c r="C23" s="730"/>
      <c r="D23" s="730"/>
      <c r="E23" s="730"/>
      <c r="F23" s="730"/>
      <c r="G23" s="730"/>
      <c r="H23" s="156"/>
      <c r="I23" s="730"/>
      <c r="J23" s="730"/>
      <c r="K23" s="730"/>
      <c r="L23" s="156"/>
    </row>
    <row r="24" spans="1:12" ht="29.25" customHeight="1" x14ac:dyDescent="0.25">
      <c r="B24" s="730"/>
      <c r="C24" s="730"/>
      <c r="D24" s="730"/>
      <c r="E24" s="730"/>
      <c r="F24" s="730"/>
      <c r="G24" s="730"/>
      <c r="H24" s="156"/>
      <c r="I24" s="730"/>
      <c r="J24" s="730"/>
      <c r="K24" s="730"/>
      <c r="L24" s="156"/>
    </row>
    <row r="25" spans="1:12" ht="29.25" customHeight="1" x14ac:dyDescent="0.25">
      <c r="B25" s="730"/>
      <c r="C25" s="730"/>
      <c r="D25" s="730"/>
      <c r="E25" s="730"/>
      <c r="F25" s="730"/>
      <c r="G25" s="730"/>
      <c r="H25" s="156"/>
      <c r="I25" s="730"/>
      <c r="J25" s="761"/>
      <c r="K25" s="761"/>
      <c r="L25" s="156"/>
    </row>
    <row r="26" spans="1:12" ht="29.25" customHeight="1" x14ac:dyDescent="0.25">
      <c r="B26" s="730"/>
      <c r="C26" s="730"/>
      <c r="D26" s="730"/>
      <c r="E26" s="730"/>
      <c r="F26" s="730"/>
      <c r="G26" s="730"/>
      <c r="H26" s="156"/>
      <c r="I26" s="730"/>
      <c r="J26" s="761"/>
      <c r="K26" s="761"/>
      <c r="L26" s="156"/>
    </row>
  </sheetData>
  <mergeCells count="46">
    <mergeCell ref="B1:M1"/>
    <mergeCell ref="B2:M2"/>
    <mergeCell ref="B4:D4"/>
    <mergeCell ref="B5:D5"/>
    <mergeCell ref="B6:D6"/>
    <mergeCell ref="J16:K17"/>
    <mergeCell ref="B7:D7"/>
    <mergeCell ref="B8:D8"/>
    <mergeCell ref="F8:I8"/>
    <mergeCell ref="B9:D9"/>
    <mergeCell ref="B10:D10"/>
    <mergeCell ref="B11:D11"/>
    <mergeCell ref="B12:K12"/>
    <mergeCell ref="B13:B15"/>
    <mergeCell ref="C13:C15"/>
    <mergeCell ref="D13:D15"/>
    <mergeCell ref="F13:F15"/>
    <mergeCell ref="G13:G15"/>
    <mergeCell ref="H13:H15"/>
    <mergeCell ref="I13:I15"/>
    <mergeCell ref="J13:K15"/>
    <mergeCell ref="E14:E15"/>
    <mergeCell ref="I22:I24"/>
    <mergeCell ref="J22:K24"/>
    <mergeCell ref="E23:E24"/>
    <mergeCell ref="B16:B17"/>
    <mergeCell ref="C16:C17"/>
    <mergeCell ref="D16:D17"/>
    <mergeCell ref="E16:E17"/>
    <mergeCell ref="B22:B24"/>
    <mergeCell ref="C22:C24"/>
    <mergeCell ref="D22:D24"/>
    <mergeCell ref="F22:F24"/>
    <mergeCell ref="G22:G24"/>
    <mergeCell ref="F16:F17"/>
    <mergeCell ref="G16:G17"/>
    <mergeCell ref="H16:H17"/>
    <mergeCell ref="I16:I17"/>
    <mergeCell ref="G25:G26"/>
    <mergeCell ref="I25:I26"/>
    <mergeCell ref="J25:K26"/>
    <mergeCell ref="B25:B26"/>
    <mergeCell ref="C25:C26"/>
    <mergeCell ref="D25:D26"/>
    <mergeCell ref="E25:E26"/>
    <mergeCell ref="F25:F26"/>
  </mergeCells>
  <pageMargins left="0.70833333333333304" right="0.70833333333333304" top="0.74791666666666701" bottom="0.74791666666666701" header="0.511811023622047" footer="0.511811023622047"/>
  <pageSetup paperSize="9" scale="80" orientation="landscape" horizontalDpi="300" verticalDpi="30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9"/>
  <sheetViews>
    <sheetView topLeftCell="A2" zoomScaleNormal="100" workbookViewId="0">
      <selection activeCell="H11" sqref="H11"/>
    </sheetView>
  </sheetViews>
  <sheetFormatPr baseColWidth="10" defaultColWidth="11.5546875" defaultRowHeight="15" customHeight="1" x14ac:dyDescent="0.3"/>
  <cols>
    <col min="1" max="2" width="23.21875" style="9" customWidth="1"/>
    <col min="3" max="3" width="23.21875" style="604" customWidth="1"/>
    <col min="4" max="4" width="11.5546875" style="604"/>
    <col min="5" max="16384" width="11.5546875" style="9"/>
  </cols>
  <sheetData>
    <row r="1" spans="1:11" x14ac:dyDescent="0.3">
      <c r="B1" s="772" t="s">
        <v>639</v>
      </c>
      <c r="C1" s="772"/>
      <c r="D1" s="772"/>
      <c r="E1" s="772"/>
      <c r="F1" s="772"/>
      <c r="G1" s="772"/>
      <c r="H1" s="772"/>
    </row>
    <row r="2" spans="1:11" x14ac:dyDescent="0.3">
      <c r="A2" s="9" t="s">
        <v>640</v>
      </c>
      <c r="E2" s="414"/>
    </row>
    <row r="3" spans="1:11" x14ac:dyDescent="0.3">
      <c r="A3" s="9" t="s">
        <v>641</v>
      </c>
      <c r="E3" s="414"/>
    </row>
    <row r="4" spans="1:11" x14ac:dyDescent="0.3">
      <c r="E4" s="414"/>
    </row>
    <row r="5" spans="1:11" x14ac:dyDescent="0.3">
      <c r="E5" s="414"/>
      <c r="G5" s="9" t="s">
        <v>642</v>
      </c>
      <c r="K5" s="415">
        <v>45778</v>
      </c>
    </row>
    <row r="6" spans="1:11" x14ac:dyDescent="0.3">
      <c r="B6" s="416" t="s">
        <v>643</v>
      </c>
      <c r="C6" s="605" t="s">
        <v>644</v>
      </c>
      <c r="D6" s="605" t="s">
        <v>645</v>
      </c>
      <c r="E6" s="416"/>
      <c r="G6" s="9" t="s">
        <v>646</v>
      </c>
      <c r="K6" s="417"/>
    </row>
    <row r="7" spans="1:11" x14ac:dyDescent="0.3">
      <c r="A7" s="418">
        <v>0</v>
      </c>
      <c r="B7" s="418">
        <f>IF('BP FORMAT JUILLET 2023'!$H$10&lt;'TAUX NEUTRE '!$K$5,'TAUX NEUTRE JANVIER  '!C7,'TAUX NEUTRE MAI'!C7)</f>
        <v>1620</v>
      </c>
      <c r="C7" s="605">
        <f>IF('BP FORMAT JUILLET 2023'!$H$10&gt;$K$5,'TAUX NEUTRE MAI'!D7,'TAUX NEUTRE JANVIER  '!D7)</f>
        <v>0</v>
      </c>
      <c r="D7" s="606">
        <f t="shared" ref="D7:D26" si="0">IF($H$11&gt;=A7,IF($H$11&lt;B7,C7,0),0)</f>
        <v>0</v>
      </c>
    </row>
    <row r="8" spans="1:11" x14ac:dyDescent="0.3">
      <c r="A8" s="418">
        <f t="shared" ref="A8:A26" si="1">B7</f>
        <v>1620</v>
      </c>
      <c r="B8" s="418">
        <f>IF('BP FORMAT JUILLET 2023'!$H$10&lt;'TAUX NEUTRE '!$K$5,'TAUX NEUTRE JANVIER  '!C8,'TAUX NEUTRE MAI'!C8)</f>
        <v>1683</v>
      </c>
      <c r="C8" s="605">
        <f>IF('BP FORMAT JUILLET 2023'!$H$10&gt;$K$5,'TAUX NEUTRE MAI'!D8,'TAUX NEUTRE JANVIER  '!D8)</f>
        <v>5.0000000000000001E-3</v>
      </c>
      <c r="D8" s="606">
        <f t="shared" si="0"/>
        <v>0</v>
      </c>
    </row>
    <row r="9" spans="1:11" x14ac:dyDescent="0.3">
      <c r="A9" s="418">
        <f t="shared" si="1"/>
        <v>1683</v>
      </c>
      <c r="B9" s="418">
        <f>IF('BP FORMAT JUILLET 2023'!$H$10&lt;'TAUX NEUTRE '!$K$5,'TAUX NEUTRE JANVIER  '!C9,'TAUX NEUTRE MAI'!C9)</f>
        <v>1791</v>
      </c>
      <c r="C9" s="605">
        <f>IF('BP FORMAT JUILLET 2023'!$H$10&gt;$K$5,'TAUX NEUTRE MAI'!D9,'TAUX NEUTRE JANVIER  '!D9)</f>
        <v>1.2999999999999999E-2</v>
      </c>
      <c r="D9" s="606">
        <f t="shared" si="0"/>
        <v>0</v>
      </c>
    </row>
    <row r="10" spans="1:11" x14ac:dyDescent="0.3">
      <c r="A10" s="418">
        <f t="shared" si="1"/>
        <v>1791</v>
      </c>
      <c r="B10" s="418">
        <f>IF('BP FORMAT JUILLET 2023'!$H$10&lt;'TAUX NEUTRE '!$K$5,'TAUX NEUTRE JANVIER  '!C10,'TAUX NEUTRE MAI'!C10)</f>
        <v>1911</v>
      </c>
      <c r="C10" s="605">
        <f>IF('BP FORMAT JUILLET 2023'!$H$10&gt;$K$5,'TAUX NEUTRE MAI'!D10,'TAUX NEUTRE JANVIER  '!D10)</f>
        <v>2.1000000000000001E-2</v>
      </c>
      <c r="D10" s="606">
        <f t="shared" si="0"/>
        <v>0</v>
      </c>
      <c r="G10" s="773" t="s">
        <v>647</v>
      </c>
      <c r="H10" s="773"/>
    </row>
    <row r="11" spans="1:11" x14ac:dyDescent="0.3">
      <c r="A11" s="418">
        <f t="shared" si="1"/>
        <v>1911</v>
      </c>
      <c r="B11" s="418">
        <f>IF('BP FORMAT JUILLET 2023'!$H$10&lt;'TAUX NEUTRE '!$K$5,'TAUX NEUTRE JANVIER  '!C11,'TAUX NEUTRE MAI'!C11)</f>
        <v>2042</v>
      </c>
      <c r="C11" s="605">
        <f>IF('BP FORMAT JUILLET 2023'!$H$10&gt;$K$5,'TAUX NEUTRE MAI'!D11,'TAUX NEUTRE JANVIER  '!D11)</f>
        <v>2.9000000000000001E-2</v>
      </c>
      <c r="D11" s="606">
        <f t="shared" si="0"/>
        <v>0</v>
      </c>
      <c r="G11" s="265" t="s">
        <v>648</v>
      </c>
      <c r="H11" s="420">
        <f>'BP FORMAT JUILLET 2023'!D89</f>
        <v>2665.73</v>
      </c>
    </row>
    <row r="12" spans="1:11" x14ac:dyDescent="0.3">
      <c r="A12" s="418">
        <f t="shared" si="1"/>
        <v>2042</v>
      </c>
      <c r="B12" s="418">
        <f>IF('BP FORMAT JUILLET 2023'!$H$10&lt;'TAUX NEUTRE '!$K$5,'TAUX NEUTRE JANVIER  '!C12,'TAUX NEUTRE MAI'!C12)</f>
        <v>2151</v>
      </c>
      <c r="C12" s="605">
        <f>IF('BP FORMAT JUILLET 2023'!$H$10&gt;$K$5,'TAUX NEUTRE MAI'!D12,'TAUX NEUTRE JANVIER  '!D12)</f>
        <v>3.5000000000000003E-2</v>
      </c>
      <c r="D12" s="606">
        <f t="shared" si="0"/>
        <v>0</v>
      </c>
      <c r="G12" s="265" t="s">
        <v>527</v>
      </c>
      <c r="H12" s="421">
        <f>'TAUX NEUTRE '!D27</f>
        <v>5.2999999999999999E-2</v>
      </c>
    </row>
    <row r="13" spans="1:11" x14ac:dyDescent="0.3">
      <c r="A13" s="418">
        <f t="shared" si="1"/>
        <v>2151</v>
      </c>
      <c r="B13" s="418">
        <f>IF('BP FORMAT JUILLET 2023'!$H$10&lt;'TAUX NEUTRE '!$K$5,'TAUX NEUTRE JANVIER  '!C13,'TAUX NEUTRE MAI'!C13)</f>
        <v>2294</v>
      </c>
      <c r="C13" s="605">
        <f>IF('BP FORMAT JUILLET 2023'!$H$10&gt;$K$5,'TAUX NEUTRE MAI'!D13,'TAUX NEUTRE JANVIER  '!D13)</f>
        <v>4.1000000000000002E-2</v>
      </c>
      <c r="D13" s="606">
        <f t="shared" si="0"/>
        <v>0</v>
      </c>
    </row>
    <row r="14" spans="1:11" x14ac:dyDescent="0.3">
      <c r="A14" s="418">
        <f t="shared" si="1"/>
        <v>2294</v>
      </c>
      <c r="B14" s="418">
        <f>IF('BP FORMAT JUILLET 2023'!$H$10&lt;'TAUX NEUTRE '!$K$5,'TAUX NEUTRE JANVIER  '!C14,'TAUX NEUTRE MAI'!C14)</f>
        <v>2714</v>
      </c>
      <c r="C14" s="605">
        <f>IF('BP FORMAT JUILLET 2023'!$H$10&gt;$K$5,'TAUX NEUTRE MAI'!D14,'TAUX NEUTRE JANVIER  '!D14)</f>
        <v>5.2999999999999999E-2</v>
      </c>
      <c r="D14" s="606">
        <f t="shared" si="0"/>
        <v>5.2999999999999999E-2</v>
      </c>
    </row>
    <row r="15" spans="1:11" x14ac:dyDescent="0.3">
      <c r="A15" s="418">
        <f t="shared" si="1"/>
        <v>2714</v>
      </c>
      <c r="B15" s="418">
        <f>IF('BP FORMAT JUILLET 2023'!$H$10&lt;'TAUX NEUTRE '!$K$5,'TAUX NEUTRE JANVIER  '!C15,'TAUX NEUTRE MAI'!C15)</f>
        <v>3107</v>
      </c>
      <c r="C15" s="605">
        <f>IF('BP FORMAT JUILLET 2023'!$H$10&gt;$K$5,'TAUX NEUTRE MAI'!D15,'TAUX NEUTRE JANVIER  '!D15)</f>
        <v>7.4999999999999997E-2</v>
      </c>
      <c r="D15" s="606">
        <f t="shared" si="0"/>
        <v>0</v>
      </c>
    </row>
    <row r="16" spans="1:11" x14ac:dyDescent="0.3">
      <c r="A16" s="418">
        <f t="shared" si="1"/>
        <v>3107</v>
      </c>
      <c r="B16" s="418">
        <f>IF('BP FORMAT JUILLET 2023'!$H$10&lt;'TAUX NEUTRE '!$K$5,'TAUX NEUTRE JANVIER  '!C16,'TAUX NEUTRE MAI'!C16)</f>
        <v>3539</v>
      </c>
      <c r="C16" s="605">
        <f>IF('BP FORMAT JUILLET 2023'!$H$10&gt;$K$5,'TAUX NEUTRE MAI'!D16,'TAUX NEUTRE JANVIER  '!D16)</f>
        <v>9.9000000000000005E-2</v>
      </c>
      <c r="D16" s="606">
        <f t="shared" si="0"/>
        <v>0</v>
      </c>
    </row>
    <row r="17" spans="1:4" x14ac:dyDescent="0.3">
      <c r="A17" s="418">
        <f t="shared" si="1"/>
        <v>3539</v>
      </c>
      <c r="B17" s="418">
        <f>IF('BP FORMAT JUILLET 2023'!$H$10&lt;'TAUX NEUTRE '!$K$5,'TAUX NEUTRE JANVIER  '!C17,'TAUX NEUTRE MAI'!C17)</f>
        <v>3983</v>
      </c>
      <c r="C17" s="605">
        <f>IF('BP FORMAT JUILLET 2023'!$H$10&gt;$K$5,'TAUX NEUTRE MAI'!D17,'TAUX NEUTRE JANVIER  '!D17)</f>
        <v>0.11899999999999999</v>
      </c>
      <c r="D17" s="606">
        <f t="shared" si="0"/>
        <v>0</v>
      </c>
    </row>
    <row r="18" spans="1:4" x14ac:dyDescent="0.3">
      <c r="A18" s="418">
        <f t="shared" si="1"/>
        <v>3983</v>
      </c>
      <c r="B18" s="418">
        <f>IF('BP FORMAT JUILLET 2023'!$H$10&lt;'TAUX NEUTRE '!$K$5,'TAUX NEUTRE JANVIER  '!C18,'TAUX NEUTRE MAI'!C18)</f>
        <v>4648</v>
      </c>
      <c r="C18" s="605">
        <f>IF('BP FORMAT JUILLET 2023'!$H$10&gt;$K$5,'TAUX NEUTRE MAI'!D18,'TAUX NEUTRE JANVIER  '!D18)</f>
        <v>0.13800000000000001</v>
      </c>
      <c r="D18" s="606">
        <f t="shared" si="0"/>
        <v>0</v>
      </c>
    </row>
    <row r="19" spans="1:4" x14ac:dyDescent="0.3">
      <c r="A19" s="418">
        <f t="shared" si="1"/>
        <v>4648</v>
      </c>
      <c r="B19" s="418">
        <f>IF('BP FORMAT JUILLET 2023'!$H$10&lt;'TAUX NEUTRE '!$K$5,'TAUX NEUTRE JANVIER  '!C19,'TAUX NEUTRE MAI'!C19)</f>
        <v>5574</v>
      </c>
      <c r="C19" s="605">
        <f>IF('BP FORMAT JUILLET 2023'!$H$10&gt;$K$5,'TAUX NEUTRE MAI'!D19,'TAUX NEUTRE JANVIER  '!D19)</f>
        <v>0.158</v>
      </c>
      <c r="D19" s="606">
        <f t="shared" si="0"/>
        <v>0</v>
      </c>
    </row>
    <row r="20" spans="1:4" x14ac:dyDescent="0.3">
      <c r="A20" s="418">
        <f t="shared" si="1"/>
        <v>5574</v>
      </c>
      <c r="B20" s="418">
        <f>IF('BP FORMAT JUILLET 2023'!$H$10&lt;'TAUX NEUTRE '!$K$5,'TAUX NEUTRE JANVIER  '!C20,'TAUX NEUTRE MAI'!C20)</f>
        <v>6974</v>
      </c>
      <c r="C20" s="605">
        <f>IF('BP FORMAT JUILLET 2023'!$H$10&gt;$K$5,'TAUX NEUTRE MAI'!D20,'TAUX NEUTRE JANVIER  '!D20)</f>
        <v>0.17899999999999999</v>
      </c>
      <c r="D20" s="606">
        <f t="shared" si="0"/>
        <v>0</v>
      </c>
    </row>
    <row r="21" spans="1:4" x14ac:dyDescent="0.3">
      <c r="A21" s="418">
        <f t="shared" si="1"/>
        <v>6974</v>
      </c>
      <c r="B21" s="418">
        <f>IF('BP FORMAT JUILLET 2023'!$H$10&lt;'TAUX NEUTRE '!$K$5,'TAUX NEUTRE JANVIER  '!C21,'TAUX NEUTRE MAI'!C21)</f>
        <v>8711</v>
      </c>
      <c r="C21" s="605">
        <f>IF('BP FORMAT JUILLET 2023'!$H$10&gt;$K$5,'TAUX NEUTRE MAI'!D21,'TAUX NEUTRE JANVIER  '!D21)</f>
        <v>0.2</v>
      </c>
      <c r="D21" s="606">
        <f t="shared" si="0"/>
        <v>0</v>
      </c>
    </row>
    <row r="22" spans="1:4" x14ac:dyDescent="0.3">
      <c r="A22" s="418">
        <f t="shared" si="1"/>
        <v>8711</v>
      </c>
      <c r="B22" s="418">
        <f>IF('BP FORMAT JUILLET 2023'!$H$10&lt;'TAUX NEUTRE '!$K$5,'TAUX NEUTRE JANVIER  '!C22,'TAUX NEUTRE MAI'!C22)</f>
        <v>12091</v>
      </c>
      <c r="C22" s="605">
        <f>IF('BP FORMAT JUILLET 2023'!$H$10&gt;$K$5,'TAUX NEUTRE MAI'!D22,'TAUX NEUTRE JANVIER  '!D22)</f>
        <v>0.24</v>
      </c>
      <c r="D22" s="606">
        <f t="shared" si="0"/>
        <v>0</v>
      </c>
    </row>
    <row r="23" spans="1:4" x14ac:dyDescent="0.3">
      <c r="A23" s="418">
        <f t="shared" si="1"/>
        <v>12091</v>
      </c>
      <c r="B23" s="418">
        <f>IF('BP FORMAT JUILLET 2023'!$H$10&lt;'TAUX NEUTRE '!$K$5,'TAUX NEUTRE JANVIER  '!C23,'TAUX NEUTRE MAI'!C23)</f>
        <v>16376</v>
      </c>
      <c r="C23" s="605">
        <f>IF('BP FORMAT JUILLET 2023'!$H$10&gt;$K$5,'TAUX NEUTRE MAI'!D23,'TAUX NEUTRE JANVIER  '!D23)</f>
        <v>0.28000000000000003</v>
      </c>
      <c r="D23" s="606">
        <f t="shared" si="0"/>
        <v>0</v>
      </c>
    </row>
    <row r="24" spans="1:4" x14ac:dyDescent="0.3">
      <c r="A24" s="418">
        <f t="shared" si="1"/>
        <v>16376</v>
      </c>
      <c r="B24" s="418">
        <f>IF('BP FORMAT JUILLET 2023'!$H$10&lt;'TAUX NEUTRE '!$K$5,'TAUX NEUTRE JANVIER  '!C24,'TAUX NEUTRE MAI'!C24)</f>
        <v>25706</v>
      </c>
      <c r="C24" s="605">
        <f>IF('BP FORMAT JUILLET 2023'!$H$10&gt;$K$5,'TAUX NEUTRE MAI'!D24,'TAUX NEUTRE JANVIER  '!D24)</f>
        <v>0.33</v>
      </c>
      <c r="D24" s="606">
        <f t="shared" si="0"/>
        <v>0</v>
      </c>
    </row>
    <row r="25" spans="1:4" x14ac:dyDescent="0.3">
      <c r="A25" s="418">
        <f t="shared" si="1"/>
        <v>25706</v>
      </c>
      <c r="B25" s="418">
        <f>IF('BP FORMAT JUILLET 2023'!$H$10&lt;'TAUX NEUTRE '!$K$5,'TAUX NEUTRE JANVIER  '!C25,'TAUX NEUTRE MAI'!C25)</f>
        <v>55062</v>
      </c>
      <c r="C25" s="605">
        <f>IF('BP FORMAT JUILLET 2023'!$H$10&gt;$K$5,'TAUX NEUTRE MAI'!D25,'TAUX NEUTRE JANVIER  '!D25)</f>
        <v>0.38</v>
      </c>
      <c r="D25" s="606">
        <f t="shared" si="0"/>
        <v>0</v>
      </c>
    </row>
    <row r="26" spans="1:4" x14ac:dyDescent="0.3">
      <c r="A26" s="418">
        <f t="shared" si="1"/>
        <v>55062</v>
      </c>
      <c r="B26" s="418">
        <f>IF('BP FORMAT JUILLET 2023'!$H$10&lt;'TAUX NEUTRE '!$K$5,'TAUX NEUTRE JANVIER  '!C26,'TAUX NEUTRE MAI'!C26)</f>
        <v>0</v>
      </c>
      <c r="C26" s="605">
        <f>IF('BP FORMAT JUILLET 2023'!$H$10&gt;$K$5,'TAUX NEUTRE MAI'!D26,'TAUX NEUTRE JANVIER  '!D26)</f>
        <v>0.43</v>
      </c>
      <c r="D26" s="606">
        <f t="shared" si="0"/>
        <v>0</v>
      </c>
    </row>
    <row r="27" spans="1:4" x14ac:dyDescent="0.3">
      <c r="A27" s="422"/>
      <c r="B27" s="422"/>
      <c r="D27" s="606">
        <f>SUM(D7:D26)</f>
        <v>5.2999999999999999E-2</v>
      </c>
    </row>
    <row r="29" spans="1:4" x14ac:dyDescent="0.3">
      <c r="A29" s="424" t="s">
        <v>649</v>
      </c>
      <c r="B29" s="424"/>
    </row>
  </sheetData>
  <mergeCells count="2">
    <mergeCell ref="B1:H1"/>
    <mergeCell ref="G10:H10"/>
  </mergeCells>
  <pageMargins left="0.7" right="0.7" top="0.75" bottom="0.75" header="0.511811023622047" footer="0.511811023622047"/>
  <pageSetup paperSize="9" orientation="portrait" horizontalDpi="300" verticalDpi="30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K53"/>
  <sheetViews>
    <sheetView topLeftCell="A7" zoomScaleNormal="100" workbookViewId="0">
      <selection activeCell="A7" sqref="A1:XFD1048576"/>
    </sheetView>
  </sheetViews>
  <sheetFormatPr baseColWidth="10" defaultColWidth="11.44140625" defaultRowHeight="15" customHeight="1" x14ac:dyDescent="0.3"/>
  <cols>
    <col min="1" max="1" width="3.33203125" style="9" customWidth="1"/>
    <col min="2" max="3" width="25.6640625" style="9" customWidth="1"/>
    <col min="4" max="4" width="11.44140625" style="9"/>
    <col min="5" max="5" width="11.88671875" style="414" customWidth="1"/>
    <col min="6" max="6" width="17.88671875" style="9" customWidth="1"/>
    <col min="7" max="7" width="18.88671875" style="9" customWidth="1"/>
    <col min="8" max="16384" width="11.44140625" style="9"/>
  </cols>
  <sheetData>
    <row r="1" spans="2:11" ht="20.25" customHeight="1" x14ac:dyDescent="0.3">
      <c r="B1" s="774" t="s">
        <v>759</v>
      </c>
      <c r="C1" s="774"/>
      <c r="D1" s="774"/>
      <c r="E1" s="774"/>
      <c r="F1" s="774"/>
      <c r="G1" s="774"/>
      <c r="H1" s="774"/>
    </row>
    <row r="2" spans="2:11" ht="14.25" customHeight="1" x14ac:dyDescent="0.3"/>
    <row r="3" spans="2:11" ht="14.25" customHeight="1" x14ac:dyDescent="0.3"/>
    <row r="5" spans="2:11" ht="14.25" customHeight="1" x14ac:dyDescent="0.3"/>
    <row r="6" spans="2:11" ht="14.25" customHeight="1" x14ac:dyDescent="0.3">
      <c r="B6" s="416" t="s">
        <v>643</v>
      </c>
      <c r="C6" s="416" t="s">
        <v>644</v>
      </c>
      <c r="D6" s="416" t="s">
        <v>645</v>
      </c>
      <c r="E6" s="416"/>
      <c r="J6" s="75"/>
      <c r="K6" s="417"/>
    </row>
    <row r="7" spans="2:11" ht="14.25" customHeight="1" x14ac:dyDescent="0.3">
      <c r="B7" s="510">
        <v>0</v>
      </c>
      <c r="C7" s="510">
        <v>1591</v>
      </c>
      <c r="D7" s="510">
        <v>0</v>
      </c>
      <c r="E7" s="419">
        <f t="shared" ref="E7:E26" si="0">IF($H$11&gt;=B7,IF($H$11&lt;C7,D7,0),0)</f>
        <v>0</v>
      </c>
    </row>
    <row r="8" spans="2:11" ht="14.25" customHeight="1" x14ac:dyDescent="0.3">
      <c r="B8" s="510">
        <f t="shared" ref="B8:B26" si="1">C7</f>
        <v>1591</v>
      </c>
      <c r="C8" s="510">
        <v>1653</v>
      </c>
      <c r="D8" s="318">
        <v>5.0000000000000001E-3</v>
      </c>
      <c r="E8" s="318">
        <f t="shared" si="0"/>
        <v>0</v>
      </c>
    </row>
    <row r="9" spans="2:11" ht="14.25" customHeight="1" x14ac:dyDescent="0.3">
      <c r="B9" s="510">
        <f t="shared" si="1"/>
        <v>1653</v>
      </c>
      <c r="C9" s="510">
        <v>1759</v>
      </c>
      <c r="D9" s="318">
        <v>1.2999999999999999E-2</v>
      </c>
      <c r="E9" s="318">
        <f t="shared" si="0"/>
        <v>0</v>
      </c>
    </row>
    <row r="10" spans="2:11" ht="14.25" customHeight="1" x14ac:dyDescent="0.3">
      <c r="B10" s="510">
        <f t="shared" si="1"/>
        <v>1759</v>
      </c>
      <c r="C10" s="510">
        <v>1877</v>
      </c>
      <c r="D10" s="318">
        <v>2.1000000000000001E-2</v>
      </c>
      <c r="E10" s="318">
        <f t="shared" si="0"/>
        <v>0</v>
      </c>
      <c r="G10" s="773" t="s">
        <v>647</v>
      </c>
      <c r="H10" s="773"/>
    </row>
    <row r="11" spans="2:11" ht="14.25" customHeight="1" x14ac:dyDescent="0.3">
      <c r="B11" s="510">
        <f t="shared" si="1"/>
        <v>1877</v>
      </c>
      <c r="C11" s="510">
        <v>2006</v>
      </c>
      <c r="D11" s="318">
        <v>2.9000000000000001E-2</v>
      </c>
      <c r="E11" s="318">
        <f t="shared" si="0"/>
        <v>0</v>
      </c>
      <c r="G11" s="265" t="s">
        <v>648</v>
      </c>
      <c r="H11" s="420">
        <f>'BP FORMAT JUILLET 2023'!D89</f>
        <v>2665.73</v>
      </c>
    </row>
    <row r="12" spans="2:11" ht="14.25" customHeight="1" x14ac:dyDescent="0.3">
      <c r="B12" s="510">
        <f t="shared" si="1"/>
        <v>2006</v>
      </c>
      <c r="C12" s="510">
        <v>2113</v>
      </c>
      <c r="D12" s="318">
        <v>3.5000000000000003E-2</v>
      </c>
      <c r="E12" s="318">
        <f t="shared" si="0"/>
        <v>0</v>
      </c>
      <c r="G12" s="265" t="s">
        <v>527</v>
      </c>
      <c r="H12" s="421">
        <f>E27</f>
        <v>5.2999999999999999E-2</v>
      </c>
    </row>
    <row r="13" spans="2:11" ht="14.25" customHeight="1" x14ac:dyDescent="0.3">
      <c r="B13" s="510">
        <f t="shared" si="1"/>
        <v>2113</v>
      </c>
      <c r="C13" s="510">
        <v>2253</v>
      </c>
      <c r="D13" s="318">
        <v>4.1000000000000002E-2</v>
      </c>
      <c r="E13" s="318">
        <f t="shared" si="0"/>
        <v>0</v>
      </c>
    </row>
    <row r="14" spans="2:11" ht="14.25" customHeight="1" x14ac:dyDescent="0.3">
      <c r="B14" s="510">
        <f t="shared" si="1"/>
        <v>2253</v>
      </c>
      <c r="C14" s="510">
        <v>2666</v>
      </c>
      <c r="D14" s="318">
        <v>5.2999999999999999E-2</v>
      </c>
      <c r="E14" s="318">
        <f t="shared" si="0"/>
        <v>5.2999999999999999E-2</v>
      </c>
    </row>
    <row r="15" spans="2:11" ht="14.25" customHeight="1" x14ac:dyDescent="0.3">
      <c r="B15" s="510">
        <f t="shared" si="1"/>
        <v>2666</v>
      </c>
      <c r="C15" s="510">
        <v>3052</v>
      </c>
      <c r="D15" s="318">
        <v>7.4999999999999997E-2</v>
      </c>
      <c r="E15" s="318">
        <f t="shared" si="0"/>
        <v>0</v>
      </c>
    </row>
    <row r="16" spans="2:11" ht="14.25" customHeight="1" x14ac:dyDescent="0.3">
      <c r="B16" s="510">
        <f t="shared" si="1"/>
        <v>3052</v>
      </c>
      <c r="C16" s="510">
        <v>3476</v>
      </c>
      <c r="D16" s="318">
        <v>9.9000000000000005E-2</v>
      </c>
      <c r="E16" s="318">
        <f t="shared" si="0"/>
        <v>0</v>
      </c>
    </row>
    <row r="17" spans="2:11" ht="14.25" customHeight="1" x14ac:dyDescent="0.3">
      <c r="B17" s="510">
        <f t="shared" si="1"/>
        <v>3476</v>
      </c>
      <c r="C17" s="510">
        <v>3913</v>
      </c>
      <c r="D17" s="318">
        <v>0.11899999999999999</v>
      </c>
      <c r="E17" s="318">
        <f t="shared" si="0"/>
        <v>0</v>
      </c>
    </row>
    <row r="18" spans="2:11" ht="14.25" customHeight="1" x14ac:dyDescent="0.3">
      <c r="B18" s="510">
        <f t="shared" si="1"/>
        <v>3913</v>
      </c>
      <c r="C18" s="510">
        <v>4566</v>
      </c>
      <c r="D18" s="318">
        <v>0.13800000000000001</v>
      </c>
      <c r="E18" s="318">
        <f t="shared" si="0"/>
        <v>0</v>
      </c>
    </row>
    <row r="19" spans="2:11" ht="14.25" customHeight="1" x14ac:dyDescent="0.3">
      <c r="B19" s="510">
        <f t="shared" si="1"/>
        <v>4566</v>
      </c>
      <c r="C19" s="510">
        <v>5475</v>
      </c>
      <c r="D19" s="318">
        <v>0.158</v>
      </c>
      <c r="E19" s="318">
        <f t="shared" si="0"/>
        <v>0</v>
      </c>
    </row>
    <row r="20" spans="2:11" ht="14.25" customHeight="1" x14ac:dyDescent="0.3">
      <c r="B20" s="510">
        <f t="shared" si="1"/>
        <v>5475</v>
      </c>
      <c r="C20" s="510">
        <v>6851</v>
      </c>
      <c r="D20" s="318">
        <v>0.17899999999999999</v>
      </c>
      <c r="E20" s="318">
        <f t="shared" si="0"/>
        <v>0</v>
      </c>
    </row>
    <row r="21" spans="2:11" ht="14.25" customHeight="1" x14ac:dyDescent="0.3">
      <c r="B21" s="510">
        <f t="shared" si="1"/>
        <v>6851</v>
      </c>
      <c r="C21" s="510">
        <v>8557</v>
      </c>
      <c r="D21" s="318">
        <v>0.2</v>
      </c>
      <c r="E21" s="318">
        <f t="shared" si="0"/>
        <v>0</v>
      </c>
    </row>
    <row r="22" spans="2:11" ht="14.25" customHeight="1" x14ac:dyDescent="0.3">
      <c r="B22" s="510">
        <f t="shared" si="1"/>
        <v>8557</v>
      </c>
      <c r="C22" s="510">
        <v>11877</v>
      </c>
      <c r="D22" s="318">
        <v>0.24</v>
      </c>
      <c r="E22" s="318">
        <f t="shared" si="0"/>
        <v>0</v>
      </c>
    </row>
    <row r="23" spans="2:11" ht="14.25" customHeight="1" x14ac:dyDescent="0.3">
      <c r="B23" s="510">
        <f t="shared" si="1"/>
        <v>11877</v>
      </c>
      <c r="C23" s="510">
        <v>16086</v>
      </c>
      <c r="D23" s="318">
        <v>0.28000000000000003</v>
      </c>
      <c r="E23" s="318">
        <f t="shared" si="0"/>
        <v>0</v>
      </c>
    </row>
    <row r="24" spans="2:11" ht="14.25" customHeight="1" x14ac:dyDescent="0.3">
      <c r="B24" s="510">
        <f t="shared" si="1"/>
        <v>16086</v>
      </c>
      <c r="C24" s="510">
        <v>25251</v>
      </c>
      <c r="D24" s="318">
        <v>0.33</v>
      </c>
      <c r="E24" s="318">
        <f t="shared" si="0"/>
        <v>0</v>
      </c>
    </row>
    <row r="25" spans="2:11" ht="14.25" customHeight="1" x14ac:dyDescent="0.3">
      <c r="B25" s="510">
        <f t="shared" si="1"/>
        <v>25251</v>
      </c>
      <c r="C25" s="510">
        <v>54088</v>
      </c>
      <c r="D25" s="318">
        <v>0.38</v>
      </c>
      <c r="E25" s="318">
        <f t="shared" si="0"/>
        <v>0</v>
      </c>
    </row>
    <row r="26" spans="2:11" ht="14.25" customHeight="1" x14ac:dyDescent="0.3">
      <c r="B26" s="510">
        <f t="shared" si="1"/>
        <v>54088</v>
      </c>
      <c r="C26" s="510">
        <v>99999999999</v>
      </c>
      <c r="D26" s="318">
        <v>0.43</v>
      </c>
      <c r="E26" s="318">
        <f t="shared" si="0"/>
        <v>0</v>
      </c>
    </row>
    <row r="27" spans="2:11" ht="14.25" customHeight="1" x14ac:dyDescent="0.3">
      <c r="B27" s="75"/>
      <c r="E27" s="423">
        <f>SUM(E7:E26)</f>
        <v>5.2999999999999999E-2</v>
      </c>
    </row>
    <row r="28" spans="2:11" ht="18" customHeight="1" x14ac:dyDescent="0.3"/>
    <row r="29" spans="2:11" ht="14.25" hidden="1" customHeight="1" x14ac:dyDescent="0.3">
      <c r="J29" s="775"/>
      <c r="K29" s="775"/>
    </row>
    <row r="30" spans="2:11" ht="14.25" hidden="1" customHeight="1" x14ac:dyDescent="0.3">
      <c r="B30" s="416" t="s">
        <v>643</v>
      </c>
      <c r="C30" s="416" t="s">
        <v>644</v>
      </c>
      <c r="D30" s="416" t="s">
        <v>645</v>
      </c>
      <c r="E30" s="416"/>
      <c r="K30" s="511"/>
    </row>
    <row r="31" spans="2:11" ht="14.25" hidden="1" customHeight="1" x14ac:dyDescent="0.3">
      <c r="B31" s="512">
        <v>0</v>
      </c>
      <c r="C31" s="512">
        <v>1440</v>
      </c>
      <c r="D31" s="512">
        <v>0</v>
      </c>
      <c r="E31" s="513">
        <f t="shared" ref="E31:E50" si="2">IF($G$34&gt;=B31,IF($G$34&lt;C31,D31,0),0)</f>
        <v>0</v>
      </c>
      <c r="K31" s="514"/>
    </row>
    <row r="32" spans="2:11" ht="14.25" hidden="1" customHeight="1" x14ac:dyDescent="0.3">
      <c r="B32" s="512">
        <f t="shared" ref="B32:B50" si="3">C31</f>
        <v>1440</v>
      </c>
      <c r="C32" s="512">
        <v>1496</v>
      </c>
      <c r="D32" s="515">
        <v>5.0000000000000001E-3</v>
      </c>
      <c r="E32" s="423">
        <f t="shared" si="2"/>
        <v>0</v>
      </c>
      <c r="F32" s="516"/>
    </row>
    <row r="33" spans="2:7" ht="14.25" hidden="1" customHeight="1" x14ac:dyDescent="0.3">
      <c r="B33" s="512">
        <f t="shared" si="3"/>
        <v>1496</v>
      </c>
      <c r="C33" s="512">
        <v>1592</v>
      </c>
      <c r="D33" s="515">
        <v>1.2999999999999999E-2</v>
      </c>
      <c r="E33" s="423">
        <f t="shared" si="2"/>
        <v>0</v>
      </c>
      <c r="F33" s="516"/>
      <c r="G33" s="265" t="s">
        <v>760</v>
      </c>
    </row>
    <row r="34" spans="2:7" ht="14.25" hidden="1" customHeight="1" x14ac:dyDescent="0.3">
      <c r="B34" s="512">
        <f t="shared" si="3"/>
        <v>1592</v>
      </c>
      <c r="C34" s="512">
        <v>1699</v>
      </c>
      <c r="D34" s="423">
        <v>2.1000000000000001E-2</v>
      </c>
      <c r="E34" s="423">
        <f t="shared" si="2"/>
        <v>0</v>
      </c>
      <c r="F34" s="516"/>
      <c r="G34" s="420"/>
    </row>
    <row r="35" spans="2:7" ht="14.25" hidden="1" customHeight="1" x14ac:dyDescent="0.3">
      <c r="B35" s="512">
        <f t="shared" si="3"/>
        <v>1699</v>
      </c>
      <c r="C35" s="512">
        <v>1816</v>
      </c>
      <c r="D35" s="423">
        <v>2.9000000000000001E-2</v>
      </c>
      <c r="E35" s="423">
        <f t="shared" si="2"/>
        <v>0</v>
      </c>
      <c r="F35" s="516"/>
      <c r="G35" s="421"/>
    </row>
    <row r="36" spans="2:7" ht="14.25" hidden="1" customHeight="1" x14ac:dyDescent="0.3">
      <c r="B36" s="512">
        <f t="shared" si="3"/>
        <v>1816</v>
      </c>
      <c r="C36" s="512">
        <v>1913</v>
      </c>
      <c r="D36" s="423">
        <v>3.5000000000000003E-2</v>
      </c>
      <c r="E36" s="423">
        <f t="shared" si="2"/>
        <v>0</v>
      </c>
      <c r="F36" s="516"/>
    </row>
    <row r="37" spans="2:7" ht="14.25" hidden="1" customHeight="1" x14ac:dyDescent="0.3">
      <c r="B37" s="512">
        <f t="shared" si="3"/>
        <v>1913</v>
      </c>
      <c r="C37" s="512">
        <v>2040</v>
      </c>
      <c r="D37" s="423">
        <v>4.1000000000000002E-2</v>
      </c>
      <c r="E37" s="423">
        <f t="shared" si="2"/>
        <v>0</v>
      </c>
      <c r="F37" s="516"/>
    </row>
    <row r="38" spans="2:7" ht="14.25" hidden="1" customHeight="1" x14ac:dyDescent="0.3">
      <c r="B38" s="512">
        <f t="shared" si="3"/>
        <v>2040</v>
      </c>
      <c r="C38" s="512">
        <v>2414</v>
      </c>
      <c r="D38" s="423">
        <v>5.2999999999999999E-2</v>
      </c>
      <c r="E38" s="423">
        <f t="shared" si="2"/>
        <v>0</v>
      </c>
      <c r="F38" s="516"/>
    </row>
    <row r="39" spans="2:7" ht="14.25" hidden="1" customHeight="1" x14ac:dyDescent="0.3">
      <c r="B39" s="512">
        <f t="shared" si="3"/>
        <v>2414</v>
      </c>
      <c r="C39" s="512">
        <v>2763</v>
      </c>
      <c r="D39" s="423">
        <v>7.4999999999999997E-2</v>
      </c>
      <c r="E39" s="423">
        <f t="shared" si="2"/>
        <v>0</v>
      </c>
      <c r="F39" s="516"/>
    </row>
    <row r="40" spans="2:7" ht="14.25" hidden="1" customHeight="1" x14ac:dyDescent="0.3">
      <c r="B40" s="512">
        <f t="shared" si="3"/>
        <v>2763</v>
      </c>
      <c r="C40" s="512">
        <v>3147</v>
      </c>
      <c r="D40" s="423">
        <v>9.9000000000000005E-2</v>
      </c>
      <c r="E40" s="423">
        <f t="shared" si="2"/>
        <v>0</v>
      </c>
      <c r="F40" s="516"/>
    </row>
    <row r="41" spans="2:7" ht="14.25" hidden="1" customHeight="1" x14ac:dyDescent="0.3">
      <c r="B41" s="512">
        <f t="shared" si="3"/>
        <v>3147</v>
      </c>
      <c r="C41" s="512">
        <v>3543</v>
      </c>
      <c r="D41" s="423">
        <v>0.11899999999999999</v>
      </c>
      <c r="E41" s="423">
        <f t="shared" si="2"/>
        <v>0</v>
      </c>
      <c r="F41" s="516"/>
    </row>
    <row r="42" spans="2:7" ht="14.25" hidden="1" customHeight="1" x14ac:dyDescent="0.3">
      <c r="B42" s="512">
        <f t="shared" si="3"/>
        <v>3543</v>
      </c>
      <c r="C42" s="512">
        <v>4134</v>
      </c>
      <c r="D42" s="423">
        <v>0.13800000000000001</v>
      </c>
      <c r="E42" s="423">
        <f t="shared" si="2"/>
        <v>0</v>
      </c>
      <c r="F42" s="516"/>
    </row>
    <row r="43" spans="2:7" ht="14.25" hidden="1" customHeight="1" x14ac:dyDescent="0.3">
      <c r="B43" s="512">
        <f t="shared" si="3"/>
        <v>4134</v>
      </c>
      <c r="C43" s="512">
        <v>4956</v>
      </c>
      <c r="D43" s="423">
        <v>0.158</v>
      </c>
      <c r="E43" s="423">
        <f t="shared" si="2"/>
        <v>0</v>
      </c>
      <c r="F43" s="516"/>
    </row>
    <row r="44" spans="2:7" ht="14.25" hidden="1" customHeight="1" x14ac:dyDescent="0.3">
      <c r="B44" s="512">
        <f t="shared" si="3"/>
        <v>4956</v>
      </c>
      <c r="C44" s="512">
        <v>6202</v>
      </c>
      <c r="D44" s="423">
        <v>0.17899999999999999</v>
      </c>
      <c r="E44" s="423">
        <f t="shared" si="2"/>
        <v>0</v>
      </c>
      <c r="F44" s="516"/>
    </row>
    <row r="45" spans="2:7" ht="14.25" hidden="1" customHeight="1" x14ac:dyDescent="0.3">
      <c r="B45" s="512">
        <f t="shared" si="3"/>
        <v>6202</v>
      </c>
      <c r="C45" s="512">
        <v>7747</v>
      </c>
      <c r="D45" s="423">
        <v>0.2</v>
      </c>
      <c r="E45" s="423">
        <f t="shared" si="2"/>
        <v>0</v>
      </c>
      <c r="F45" s="516"/>
    </row>
    <row r="46" spans="2:7" ht="14.25" hidden="1" customHeight="1" x14ac:dyDescent="0.3">
      <c r="B46" s="512">
        <f t="shared" si="3"/>
        <v>7747</v>
      </c>
      <c r="C46" s="512">
        <v>10752</v>
      </c>
      <c r="D46" s="423">
        <v>0.24</v>
      </c>
      <c r="E46" s="423">
        <f t="shared" si="2"/>
        <v>0</v>
      </c>
      <c r="F46" s="516"/>
    </row>
    <row r="47" spans="2:7" ht="14.25" hidden="1" customHeight="1" x14ac:dyDescent="0.3">
      <c r="B47" s="512">
        <f t="shared" si="3"/>
        <v>10752</v>
      </c>
      <c r="C47" s="512">
        <v>14563</v>
      </c>
      <c r="D47" s="423">
        <v>0.28000000000000003</v>
      </c>
      <c r="E47" s="423">
        <f t="shared" si="2"/>
        <v>0</v>
      </c>
      <c r="F47" s="516"/>
    </row>
    <row r="48" spans="2:7" ht="14.25" hidden="1" customHeight="1" x14ac:dyDescent="0.3">
      <c r="B48" s="512">
        <f t="shared" si="3"/>
        <v>14563</v>
      </c>
      <c r="C48" s="512">
        <v>22860</v>
      </c>
      <c r="D48" s="423">
        <v>0.33</v>
      </c>
      <c r="E48" s="423">
        <f t="shared" si="2"/>
        <v>0</v>
      </c>
      <c r="F48" s="516"/>
    </row>
    <row r="49" spans="2:6" ht="14.25" hidden="1" customHeight="1" x14ac:dyDescent="0.3">
      <c r="B49" s="512">
        <f t="shared" si="3"/>
        <v>22860</v>
      </c>
      <c r="C49" s="512">
        <v>48967</v>
      </c>
      <c r="D49" s="423">
        <v>0.38</v>
      </c>
      <c r="E49" s="423">
        <f t="shared" si="2"/>
        <v>0</v>
      </c>
      <c r="F49" s="516"/>
    </row>
    <row r="50" spans="2:6" ht="14.25" hidden="1" customHeight="1" x14ac:dyDescent="0.3">
      <c r="B50" s="512">
        <f t="shared" si="3"/>
        <v>48967</v>
      </c>
      <c r="C50" s="517">
        <v>99999999999</v>
      </c>
      <c r="D50" s="423">
        <v>0.43</v>
      </c>
      <c r="E50" s="423">
        <f t="shared" si="2"/>
        <v>0</v>
      </c>
      <c r="F50" s="516"/>
    </row>
    <row r="51" spans="2:6" ht="14.25" hidden="1" customHeight="1" x14ac:dyDescent="0.3">
      <c r="B51" s="75"/>
      <c r="E51" s="423">
        <f>SUM(E31:E50)</f>
        <v>0</v>
      </c>
      <c r="F51" s="518"/>
    </row>
    <row r="52" spans="2:6" ht="15" hidden="1" customHeight="1" x14ac:dyDescent="0.3"/>
    <row r="53" spans="2:6" ht="15" hidden="1" customHeight="1" x14ac:dyDescent="0.3"/>
  </sheetData>
  <mergeCells count="3">
    <mergeCell ref="B1:H1"/>
    <mergeCell ref="G10:H10"/>
    <mergeCell ref="J29:K29"/>
  </mergeCells>
  <printOptions horizontalCentered="1" verticalCentered="1"/>
  <pageMargins left="0.118055555555556" right="0.118055555555556" top="0.15763888888888899" bottom="0.15763888888888899" header="0.511811023622047" footer="0.511811023622047"/>
  <pageSetup paperSize="9" scale="75" orientation="landscape" horizontalDpi="300" verticalDpi="30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58CB4-353E-4617-97FB-91E88C0B67AF}">
  <dimension ref="B1:K53"/>
  <sheetViews>
    <sheetView workbookViewId="0">
      <selection activeCell="F21" sqref="F21"/>
    </sheetView>
  </sheetViews>
  <sheetFormatPr baseColWidth="10" defaultColWidth="11.44140625" defaultRowHeight="15.6" x14ac:dyDescent="0.3"/>
  <cols>
    <col min="1" max="1" width="3.33203125" style="9" customWidth="1"/>
    <col min="2" max="3" width="25.6640625" style="9" customWidth="1"/>
    <col min="4" max="4" width="11.44140625" style="9"/>
    <col min="5" max="5" width="11.88671875" style="414" customWidth="1"/>
    <col min="6" max="6" width="17.88671875" style="9" customWidth="1"/>
    <col min="7" max="7" width="18.88671875" style="9" customWidth="1"/>
    <col min="8" max="16384" width="11.44140625" style="9"/>
  </cols>
  <sheetData>
    <row r="1" spans="2:11" ht="20.25" customHeight="1" x14ac:dyDescent="0.3">
      <c r="B1" s="774" t="s">
        <v>759</v>
      </c>
      <c r="C1" s="774"/>
      <c r="D1" s="774"/>
      <c r="E1" s="774"/>
      <c r="F1" s="774"/>
      <c r="G1" s="774"/>
      <c r="H1" s="774"/>
    </row>
    <row r="2" spans="2:11" ht="14.25" customHeight="1" x14ac:dyDescent="0.3"/>
    <row r="3" spans="2:11" ht="14.25" customHeight="1" x14ac:dyDescent="0.3"/>
    <row r="5" spans="2:11" ht="14.25" customHeight="1" x14ac:dyDescent="0.3"/>
    <row r="6" spans="2:11" ht="14.25" customHeight="1" x14ac:dyDescent="0.3">
      <c r="B6" s="416" t="s">
        <v>643</v>
      </c>
      <c r="C6" s="416" t="s">
        <v>644</v>
      </c>
      <c r="D6" s="416" t="s">
        <v>645</v>
      </c>
      <c r="E6" s="416"/>
      <c r="J6" s="75"/>
      <c r="K6" s="417"/>
    </row>
    <row r="7" spans="2:11" ht="14.25" customHeight="1" x14ac:dyDescent="0.3">
      <c r="B7" s="510">
        <v>0</v>
      </c>
      <c r="C7" s="510">
        <v>1620</v>
      </c>
      <c r="D7" s="510">
        <v>0</v>
      </c>
      <c r="E7" s="419">
        <f t="shared" ref="E7:E26" si="0">IF($H$11&gt;=B7,IF($H$11&lt;C7,D7,0),0)</f>
        <v>0</v>
      </c>
    </row>
    <row r="8" spans="2:11" ht="14.25" customHeight="1" x14ac:dyDescent="0.3">
      <c r="B8" s="510">
        <f t="shared" ref="B8:B26" si="1">C7</f>
        <v>1620</v>
      </c>
      <c r="C8" s="607">
        <v>1683</v>
      </c>
      <c r="D8" s="318">
        <v>5.0000000000000001E-3</v>
      </c>
      <c r="E8" s="318">
        <f t="shared" si="0"/>
        <v>0</v>
      </c>
    </row>
    <row r="9" spans="2:11" ht="14.25" customHeight="1" x14ac:dyDescent="0.3">
      <c r="B9" s="510">
        <f t="shared" si="1"/>
        <v>1683</v>
      </c>
      <c r="C9" s="607">
        <v>1791</v>
      </c>
      <c r="D9" s="318">
        <v>1.2999999999999999E-2</v>
      </c>
      <c r="E9" s="318">
        <f t="shared" si="0"/>
        <v>0</v>
      </c>
    </row>
    <row r="10" spans="2:11" ht="14.25" customHeight="1" x14ac:dyDescent="0.3">
      <c r="B10" s="510">
        <f t="shared" si="1"/>
        <v>1791</v>
      </c>
      <c r="C10" s="607">
        <v>1911</v>
      </c>
      <c r="D10" s="318">
        <v>2.1000000000000001E-2</v>
      </c>
      <c r="E10" s="318">
        <f t="shared" si="0"/>
        <v>0</v>
      </c>
      <c r="G10" s="773" t="s">
        <v>647</v>
      </c>
      <c r="H10" s="773"/>
    </row>
    <row r="11" spans="2:11" ht="14.25" customHeight="1" x14ac:dyDescent="0.3">
      <c r="B11" s="510">
        <f t="shared" si="1"/>
        <v>1911</v>
      </c>
      <c r="C11" s="607">
        <v>2042</v>
      </c>
      <c r="D11" s="318">
        <v>2.9000000000000001E-2</v>
      </c>
      <c r="E11" s="318">
        <f t="shared" si="0"/>
        <v>0</v>
      </c>
      <c r="G11" s="265" t="s">
        <v>648</v>
      </c>
      <c r="H11" s="420">
        <f>'BP FORMAT JUILLET 2023'!D89</f>
        <v>2665.73</v>
      </c>
    </row>
    <row r="12" spans="2:11" ht="14.25" customHeight="1" x14ac:dyDescent="0.3">
      <c r="B12" s="510">
        <f t="shared" si="1"/>
        <v>2042</v>
      </c>
      <c r="C12" s="607">
        <v>2151</v>
      </c>
      <c r="D12" s="318">
        <v>3.5000000000000003E-2</v>
      </c>
      <c r="E12" s="318">
        <f t="shared" si="0"/>
        <v>0</v>
      </c>
      <c r="G12" s="265" t="s">
        <v>527</v>
      </c>
      <c r="H12" s="421">
        <f>E27</f>
        <v>5.2999999999999999E-2</v>
      </c>
    </row>
    <row r="13" spans="2:11" ht="14.25" customHeight="1" x14ac:dyDescent="0.3">
      <c r="B13" s="510">
        <f t="shared" si="1"/>
        <v>2151</v>
      </c>
      <c r="C13" s="607">
        <v>2294</v>
      </c>
      <c r="D13" s="318">
        <v>4.1000000000000002E-2</v>
      </c>
      <c r="E13" s="318">
        <f t="shared" si="0"/>
        <v>0</v>
      </c>
    </row>
    <row r="14" spans="2:11" ht="14.25" customHeight="1" x14ac:dyDescent="0.3">
      <c r="B14" s="510">
        <f t="shared" si="1"/>
        <v>2294</v>
      </c>
      <c r="C14" s="607">
        <v>2714</v>
      </c>
      <c r="D14" s="318">
        <v>5.2999999999999999E-2</v>
      </c>
      <c r="E14" s="318">
        <f t="shared" si="0"/>
        <v>5.2999999999999999E-2</v>
      </c>
    </row>
    <row r="15" spans="2:11" ht="14.25" customHeight="1" x14ac:dyDescent="0.3">
      <c r="B15" s="510">
        <f t="shared" si="1"/>
        <v>2714</v>
      </c>
      <c r="C15" s="607">
        <v>3107</v>
      </c>
      <c r="D15" s="318">
        <v>7.4999999999999997E-2</v>
      </c>
      <c r="E15" s="318">
        <f t="shared" si="0"/>
        <v>0</v>
      </c>
    </row>
    <row r="16" spans="2:11" ht="14.25" customHeight="1" x14ac:dyDescent="0.3">
      <c r="B16" s="510">
        <f t="shared" si="1"/>
        <v>3107</v>
      </c>
      <c r="C16" s="607">
        <v>3539</v>
      </c>
      <c r="D16" s="318">
        <v>9.9000000000000005E-2</v>
      </c>
      <c r="E16" s="318">
        <f t="shared" si="0"/>
        <v>0</v>
      </c>
    </row>
    <row r="17" spans="2:11" ht="14.25" customHeight="1" x14ac:dyDescent="0.3">
      <c r="B17" s="510">
        <f t="shared" si="1"/>
        <v>3539</v>
      </c>
      <c r="C17" s="607">
        <v>3983</v>
      </c>
      <c r="D17" s="318">
        <v>0.11899999999999999</v>
      </c>
      <c r="E17" s="318">
        <f t="shared" si="0"/>
        <v>0</v>
      </c>
    </row>
    <row r="18" spans="2:11" ht="14.25" customHeight="1" x14ac:dyDescent="0.3">
      <c r="B18" s="510">
        <f t="shared" si="1"/>
        <v>3983</v>
      </c>
      <c r="C18" s="607">
        <v>4648</v>
      </c>
      <c r="D18" s="318">
        <v>0.13800000000000001</v>
      </c>
      <c r="E18" s="318">
        <f t="shared" si="0"/>
        <v>0</v>
      </c>
    </row>
    <row r="19" spans="2:11" ht="14.25" customHeight="1" x14ac:dyDescent="0.3">
      <c r="B19" s="510">
        <f t="shared" si="1"/>
        <v>4648</v>
      </c>
      <c r="C19" s="607">
        <v>5574</v>
      </c>
      <c r="D19" s="318">
        <v>0.158</v>
      </c>
      <c r="E19" s="318">
        <f t="shared" si="0"/>
        <v>0</v>
      </c>
    </row>
    <row r="20" spans="2:11" ht="14.25" customHeight="1" x14ac:dyDescent="0.3">
      <c r="B20" s="510">
        <f t="shared" si="1"/>
        <v>5574</v>
      </c>
      <c r="C20" s="607">
        <v>6974</v>
      </c>
      <c r="D20" s="318">
        <v>0.17899999999999999</v>
      </c>
      <c r="E20" s="318">
        <f t="shared" si="0"/>
        <v>0</v>
      </c>
    </row>
    <row r="21" spans="2:11" ht="14.25" customHeight="1" x14ac:dyDescent="0.3">
      <c r="B21" s="510">
        <f t="shared" si="1"/>
        <v>6974</v>
      </c>
      <c r="C21" s="607">
        <v>8711</v>
      </c>
      <c r="D21" s="318">
        <v>0.2</v>
      </c>
      <c r="E21" s="318">
        <f t="shared" si="0"/>
        <v>0</v>
      </c>
    </row>
    <row r="22" spans="2:11" ht="14.25" customHeight="1" x14ac:dyDescent="0.3">
      <c r="B22" s="510">
        <f t="shared" si="1"/>
        <v>8711</v>
      </c>
      <c r="C22" s="607">
        <v>12091</v>
      </c>
      <c r="D22" s="318">
        <v>0.24</v>
      </c>
      <c r="E22" s="318">
        <f t="shared" si="0"/>
        <v>0</v>
      </c>
    </row>
    <row r="23" spans="2:11" ht="14.25" customHeight="1" x14ac:dyDescent="0.3">
      <c r="B23" s="510">
        <f t="shared" si="1"/>
        <v>12091</v>
      </c>
      <c r="C23" s="607">
        <v>16376</v>
      </c>
      <c r="D23" s="318">
        <v>0.28000000000000003</v>
      </c>
      <c r="E23" s="318">
        <f t="shared" si="0"/>
        <v>0</v>
      </c>
    </row>
    <row r="24" spans="2:11" ht="14.25" customHeight="1" x14ac:dyDescent="0.3">
      <c r="B24" s="510">
        <f t="shared" si="1"/>
        <v>16376</v>
      </c>
      <c r="C24" s="607">
        <v>25706</v>
      </c>
      <c r="D24" s="318">
        <v>0.33</v>
      </c>
      <c r="E24" s="318">
        <f t="shared" si="0"/>
        <v>0</v>
      </c>
    </row>
    <row r="25" spans="2:11" ht="14.25" customHeight="1" x14ac:dyDescent="0.3">
      <c r="B25" s="510">
        <f t="shared" si="1"/>
        <v>25706</v>
      </c>
      <c r="C25" s="607">
        <v>55062</v>
      </c>
      <c r="D25" s="318">
        <v>0.38</v>
      </c>
      <c r="E25" s="318">
        <f t="shared" si="0"/>
        <v>0</v>
      </c>
    </row>
    <row r="26" spans="2:11" ht="14.25" customHeight="1" x14ac:dyDescent="0.3">
      <c r="B26" s="510">
        <f t="shared" si="1"/>
        <v>55062</v>
      </c>
      <c r="C26" s="607"/>
      <c r="D26" s="318">
        <v>0.43</v>
      </c>
      <c r="E26" s="318">
        <f t="shared" si="0"/>
        <v>0</v>
      </c>
    </row>
    <row r="27" spans="2:11" ht="14.25" customHeight="1" x14ac:dyDescent="0.3">
      <c r="B27" s="75"/>
      <c r="E27" s="423">
        <f>SUM(E7:E26)</f>
        <v>5.2999999999999999E-2</v>
      </c>
    </row>
    <row r="28" spans="2:11" ht="18" customHeight="1" x14ac:dyDescent="0.3"/>
    <row r="29" spans="2:11" ht="14.25" hidden="1" customHeight="1" x14ac:dyDescent="0.3">
      <c r="J29" s="775"/>
      <c r="K29" s="775"/>
    </row>
    <row r="30" spans="2:11" ht="14.25" hidden="1" customHeight="1" x14ac:dyDescent="0.3">
      <c r="B30" s="416" t="s">
        <v>643</v>
      </c>
      <c r="C30" s="416" t="s">
        <v>644</v>
      </c>
      <c r="D30" s="416" t="s">
        <v>645</v>
      </c>
      <c r="E30" s="416"/>
      <c r="K30" s="511"/>
    </row>
    <row r="31" spans="2:11" ht="14.25" hidden="1" customHeight="1" x14ac:dyDescent="0.3">
      <c r="B31" s="512">
        <v>0</v>
      </c>
      <c r="C31" s="512">
        <v>1440</v>
      </c>
      <c r="D31" s="512">
        <v>0</v>
      </c>
      <c r="E31" s="513">
        <f t="shared" ref="E31:E50" si="2">IF($G$34&gt;=B31,IF($G$34&lt;C31,D31,0),0)</f>
        <v>0</v>
      </c>
      <c r="K31" s="514"/>
    </row>
    <row r="32" spans="2:11" ht="14.25" hidden="1" customHeight="1" x14ac:dyDescent="0.3">
      <c r="B32" s="512">
        <f t="shared" ref="B32:B50" si="3">C31</f>
        <v>1440</v>
      </c>
      <c r="C32" s="512">
        <v>1496</v>
      </c>
      <c r="D32" s="515">
        <v>5.0000000000000001E-3</v>
      </c>
      <c r="E32" s="423">
        <f t="shared" si="2"/>
        <v>0</v>
      </c>
      <c r="F32" s="516"/>
    </row>
    <row r="33" spans="2:7" ht="14.25" hidden="1" customHeight="1" x14ac:dyDescent="0.3">
      <c r="B33" s="512">
        <f t="shared" si="3"/>
        <v>1496</v>
      </c>
      <c r="C33" s="512">
        <v>1592</v>
      </c>
      <c r="D33" s="515">
        <v>1.2999999999999999E-2</v>
      </c>
      <c r="E33" s="423">
        <f t="shared" si="2"/>
        <v>0</v>
      </c>
      <c r="F33" s="516"/>
      <c r="G33" s="265" t="s">
        <v>760</v>
      </c>
    </row>
    <row r="34" spans="2:7" ht="14.25" hidden="1" customHeight="1" x14ac:dyDescent="0.3">
      <c r="B34" s="512">
        <f t="shared" si="3"/>
        <v>1592</v>
      </c>
      <c r="C34" s="512">
        <v>1699</v>
      </c>
      <c r="D34" s="423">
        <v>2.1000000000000001E-2</v>
      </c>
      <c r="E34" s="423">
        <f t="shared" si="2"/>
        <v>0</v>
      </c>
      <c r="F34" s="516"/>
      <c r="G34" s="420"/>
    </row>
    <row r="35" spans="2:7" ht="14.25" hidden="1" customHeight="1" x14ac:dyDescent="0.3">
      <c r="B35" s="512">
        <f t="shared" si="3"/>
        <v>1699</v>
      </c>
      <c r="C35" s="512">
        <v>1816</v>
      </c>
      <c r="D35" s="423">
        <v>2.9000000000000001E-2</v>
      </c>
      <c r="E35" s="423">
        <f t="shared" si="2"/>
        <v>0</v>
      </c>
      <c r="F35" s="516"/>
      <c r="G35" s="421"/>
    </row>
    <row r="36" spans="2:7" ht="14.25" hidden="1" customHeight="1" x14ac:dyDescent="0.3">
      <c r="B36" s="512">
        <f t="shared" si="3"/>
        <v>1816</v>
      </c>
      <c r="C36" s="512">
        <v>1913</v>
      </c>
      <c r="D36" s="423">
        <v>3.5000000000000003E-2</v>
      </c>
      <c r="E36" s="423">
        <f t="shared" si="2"/>
        <v>0</v>
      </c>
      <c r="F36" s="516"/>
    </row>
    <row r="37" spans="2:7" ht="14.25" hidden="1" customHeight="1" x14ac:dyDescent="0.3">
      <c r="B37" s="512">
        <f t="shared" si="3"/>
        <v>1913</v>
      </c>
      <c r="C37" s="512">
        <v>2040</v>
      </c>
      <c r="D37" s="423">
        <v>4.1000000000000002E-2</v>
      </c>
      <c r="E37" s="423">
        <f t="shared" si="2"/>
        <v>0</v>
      </c>
      <c r="F37" s="516"/>
    </row>
    <row r="38" spans="2:7" ht="14.25" hidden="1" customHeight="1" x14ac:dyDescent="0.3">
      <c r="B38" s="512">
        <f t="shared" si="3"/>
        <v>2040</v>
      </c>
      <c r="C38" s="512">
        <v>2414</v>
      </c>
      <c r="D38" s="423">
        <v>5.2999999999999999E-2</v>
      </c>
      <c r="E38" s="423">
        <f t="shared" si="2"/>
        <v>0</v>
      </c>
      <c r="F38" s="516"/>
    </row>
    <row r="39" spans="2:7" ht="14.25" hidden="1" customHeight="1" x14ac:dyDescent="0.3">
      <c r="B39" s="512">
        <f t="shared" si="3"/>
        <v>2414</v>
      </c>
      <c r="C39" s="512">
        <v>2763</v>
      </c>
      <c r="D39" s="423">
        <v>7.4999999999999997E-2</v>
      </c>
      <c r="E39" s="423">
        <f t="shared" si="2"/>
        <v>0</v>
      </c>
      <c r="F39" s="516"/>
    </row>
    <row r="40" spans="2:7" ht="14.25" hidden="1" customHeight="1" x14ac:dyDescent="0.3">
      <c r="B40" s="512">
        <f t="shared" si="3"/>
        <v>2763</v>
      </c>
      <c r="C40" s="512">
        <v>3147</v>
      </c>
      <c r="D40" s="423">
        <v>9.9000000000000005E-2</v>
      </c>
      <c r="E40" s="423">
        <f t="shared" si="2"/>
        <v>0</v>
      </c>
      <c r="F40" s="516"/>
    </row>
    <row r="41" spans="2:7" ht="14.25" hidden="1" customHeight="1" x14ac:dyDescent="0.3">
      <c r="B41" s="512">
        <f t="shared" si="3"/>
        <v>3147</v>
      </c>
      <c r="C41" s="512">
        <v>3543</v>
      </c>
      <c r="D41" s="423">
        <v>0.11899999999999999</v>
      </c>
      <c r="E41" s="423">
        <f t="shared" si="2"/>
        <v>0</v>
      </c>
      <c r="F41" s="516"/>
    </row>
    <row r="42" spans="2:7" ht="14.25" hidden="1" customHeight="1" x14ac:dyDescent="0.3">
      <c r="B42" s="512">
        <f t="shared" si="3"/>
        <v>3543</v>
      </c>
      <c r="C42" s="512">
        <v>4134</v>
      </c>
      <c r="D42" s="423">
        <v>0.13800000000000001</v>
      </c>
      <c r="E42" s="423">
        <f t="shared" si="2"/>
        <v>0</v>
      </c>
      <c r="F42" s="516"/>
    </row>
    <row r="43" spans="2:7" ht="14.25" hidden="1" customHeight="1" x14ac:dyDescent="0.3">
      <c r="B43" s="512">
        <f t="shared" si="3"/>
        <v>4134</v>
      </c>
      <c r="C43" s="512">
        <v>4956</v>
      </c>
      <c r="D43" s="423">
        <v>0.158</v>
      </c>
      <c r="E43" s="423">
        <f t="shared" si="2"/>
        <v>0</v>
      </c>
      <c r="F43" s="516"/>
    </row>
    <row r="44" spans="2:7" ht="14.25" hidden="1" customHeight="1" x14ac:dyDescent="0.3">
      <c r="B44" s="512">
        <f t="shared" si="3"/>
        <v>4956</v>
      </c>
      <c r="C44" s="512">
        <v>6202</v>
      </c>
      <c r="D44" s="423">
        <v>0.17899999999999999</v>
      </c>
      <c r="E44" s="423">
        <f t="shared" si="2"/>
        <v>0</v>
      </c>
      <c r="F44" s="516"/>
    </row>
    <row r="45" spans="2:7" ht="14.25" hidden="1" customHeight="1" x14ac:dyDescent="0.3">
      <c r="B45" s="512">
        <f t="shared" si="3"/>
        <v>6202</v>
      </c>
      <c r="C45" s="512">
        <v>7747</v>
      </c>
      <c r="D45" s="423">
        <v>0.2</v>
      </c>
      <c r="E45" s="423">
        <f t="shared" si="2"/>
        <v>0</v>
      </c>
      <c r="F45" s="516"/>
    </row>
    <row r="46" spans="2:7" ht="14.25" hidden="1" customHeight="1" x14ac:dyDescent="0.3">
      <c r="B46" s="512">
        <f t="shared" si="3"/>
        <v>7747</v>
      </c>
      <c r="C46" s="512">
        <v>10752</v>
      </c>
      <c r="D46" s="423">
        <v>0.24</v>
      </c>
      <c r="E46" s="423">
        <f t="shared" si="2"/>
        <v>0</v>
      </c>
      <c r="F46" s="516"/>
    </row>
    <row r="47" spans="2:7" ht="14.25" hidden="1" customHeight="1" x14ac:dyDescent="0.3">
      <c r="B47" s="512">
        <f t="shared" si="3"/>
        <v>10752</v>
      </c>
      <c r="C47" s="512">
        <v>14563</v>
      </c>
      <c r="D47" s="423">
        <v>0.28000000000000003</v>
      </c>
      <c r="E47" s="423">
        <f t="shared" si="2"/>
        <v>0</v>
      </c>
      <c r="F47" s="516"/>
    </row>
    <row r="48" spans="2:7" ht="14.25" hidden="1" customHeight="1" x14ac:dyDescent="0.3">
      <c r="B48" s="512">
        <f t="shared" si="3"/>
        <v>14563</v>
      </c>
      <c r="C48" s="512">
        <v>22860</v>
      </c>
      <c r="D48" s="423">
        <v>0.33</v>
      </c>
      <c r="E48" s="423">
        <f t="shared" si="2"/>
        <v>0</v>
      </c>
      <c r="F48" s="516"/>
    </row>
    <row r="49" spans="2:6" ht="14.25" hidden="1" customHeight="1" x14ac:dyDescent="0.3">
      <c r="B49" s="512">
        <f t="shared" si="3"/>
        <v>22860</v>
      </c>
      <c r="C49" s="512">
        <v>48967</v>
      </c>
      <c r="D49" s="423">
        <v>0.38</v>
      </c>
      <c r="E49" s="423">
        <f t="shared" si="2"/>
        <v>0</v>
      </c>
      <c r="F49" s="516"/>
    </row>
    <row r="50" spans="2:6" ht="14.25" hidden="1" customHeight="1" x14ac:dyDescent="0.3">
      <c r="B50" s="512">
        <f t="shared" si="3"/>
        <v>48967</v>
      </c>
      <c r="C50" s="517">
        <v>99999999999</v>
      </c>
      <c r="D50" s="423">
        <v>0.43</v>
      </c>
      <c r="E50" s="423">
        <f t="shared" si="2"/>
        <v>0</v>
      </c>
      <c r="F50" s="516"/>
    </row>
    <row r="51" spans="2:6" ht="14.25" hidden="1" customHeight="1" x14ac:dyDescent="0.3">
      <c r="B51" s="75"/>
      <c r="E51" s="423">
        <f>SUM(E31:E50)</f>
        <v>0</v>
      </c>
      <c r="F51" s="518"/>
    </row>
    <row r="52" spans="2:6" ht="15" hidden="1" customHeight="1" x14ac:dyDescent="0.3"/>
    <row r="53" spans="2:6" ht="15" hidden="1" customHeight="1" x14ac:dyDescent="0.3"/>
  </sheetData>
  <mergeCells count="3">
    <mergeCell ref="B1:H1"/>
    <mergeCell ref="G10:H10"/>
    <mergeCell ref="J29:K29"/>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61"/>
  <sheetViews>
    <sheetView topLeftCell="A18" zoomScaleNormal="100" workbookViewId="0">
      <selection activeCell="C22" sqref="C22"/>
    </sheetView>
  </sheetViews>
  <sheetFormatPr baseColWidth="10" defaultColWidth="10.5546875" defaultRowHeight="14.25" customHeight="1" x14ac:dyDescent="0.3"/>
  <cols>
    <col min="1" max="1" width="4.77734375" style="132" customWidth="1"/>
    <col min="2" max="2" width="13.33203125" customWidth="1"/>
    <col min="3" max="4" width="14.88671875" customWidth="1"/>
    <col min="5" max="5" width="14.77734375" customWidth="1"/>
    <col min="6" max="6" width="14.88671875" customWidth="1"/>
    <col min="7" max="7" width="16.33203125" customWidth="1"/>
  </cols>
  <sheetData>
    <row r="1" spans="1:11" ht="26.25" customHeight="1" x14ac:dyDescent="0.3">
      <c r="B1" s="782" t="s">
        <v>761</v>
      </c>
      <c r="C1" s="782"/>
      <c r="D1" s="782"/>
      <c r="E1" s="782"/>
      <c r="F1" s="782"/>
      <c r="G1" s="782"/>
    </row>
    <row r="2" spans="1:11" ht="26.25" customHeight="1" x14ac:dyDescent="0.3">
      <c r="B2" s="783"/>
      <c r="C2" s="783"/>
      <c r="D2" s="783"/>
      <c r="E2" s="783"/>
      <c r="F2" s="783"/>
      <c r="G2" s="783"/>
    </row>
    <row r="3" spans="1:11" ht="23.25" customHeight="1" x14ac:dyDescent="0.3">
      <c r="B3" s="609" t="s">
        <v>762</v>
      </c>
      <c r="C3" s="609"/>
      <c r="D3" s="784" t="s">
        <v>763</v>
      </c>
      <c r="E3" s="784"/>
      <c r="F3" s="784"/>
      <c r="G3" s="784"/>
    </row>
    <row r="4" spans="1:11" ht="26.25" customHeight="1" x14ac:dyDescent="0.3">
      <c r="B4" s="785" t="s">
        <v>764</v>
      </c>
      <c r="C4" s="785"/>
      <c r="D4" s="132"/>
      <c r="F4" s="132"/>
      <c r="G4" s="132"/>
    </row>
    <row r="5" spans="1:11" ht="35.549999999999997" customHeight="1" x14ac:dyDescent="0.3">
      <c r="A5" s="4">
        <v>1</v>
      </c>
      <c r="B5" s="519" t="s">
        <v>765</v>
      </c>
      <c r="C5" s="520">
        <v>45748</v>
      </c>
      <c r="E5" s="609">
        <f>ROUND(1.4*11.88*151.67*3*50%/91.25,2)</f>
        <v>41.47</v>
      </c>
      <c r="F5" s="609" t="s">
        <v>766</v>
      </c>
      <c r="G5" s="609"/>
      <c r="I5" s="132"/>
      <c r="J5" s="132"/>
      <c r="K5" s="132"/>
    </row>
    <row r="6" spans="1:11" ht="41.25" customHeight="1" x14ac:dyDescent="0.3">
      <c r="A6" s="4">
        <v>2</v>
      </c>
      <c r="B6" s="521" t="s">
        <v>767</v>
      </c>
      <c r="C6" s="520">
        <v>45736</v>
      </c>
      <c r="D6" s="522"/>
      <c r="E6" s="609"/>
      <c r="F6" s="609"/>
      <c r="G6" s="609"/>
    </row>
    <row r="7" spans="1:11" ht="41.25" customHeight="1" x14ac:dyDescent="0.3">
      <c r="B7" s="521" t="s">
        <v>768</v>
      </c>
      <c r="C7" s="520">
        <v>45747</v>
      </c>
      <c r="D7" s="522"/>
      <c r="E7" s="523">
        <f>1.8*11.88*3*151.67*50%/91.25</f>
        <v>53.314705972602738</v>
      </c>
      <c r="F7" s="781" t="s">
        <v>769</v>
      </c>
      <c r="G7" s="781"/>
    </row>
    <row r="8" spans="1:11" ht="41.25" customHeight="1" x14ac:dyDescent="0.3">
      <c r="B8" s="4" t="s">
        <v>770</v>
      </c>
      <c r="C8" s="520">
        <v>45717</v>
      </c>
      <c r="D8" s="522"/>
      <c r="E8" s="522"/>
      <c r="F8" s="522"/>
      <c r="G8" s="132"/>
    </row>
    <row r="9" spans="1:11" ht="41.25" customHeight="1" x14ac:dyDescent="0.3">
      <c r="B9" s="4" t="s">
        <v>771</v>
      </c>
      <c r="C9" s="520">
        <v>45747</v>
      </c>
      <c r="D9" s="522"/>
      <c r="E9" s="522"/>
      <c r="F9" s="522"/>
      <c r="G9" s="132"/>
    </row>
    <row r="10" spans="1:11" ht="41.25" customHeight="1" x14ac:dyDescent="0.3">
      <c r="B10" s="4" t="s">
        <v>772</v>
      </c>
      <c r="C10" s="524"/>
      <c r="D10" s="522"/>
      <c r="E10" s="522"/>
      <c r="F10" s="522"/>
      <c r="G10" s="132"/>
    </row>
    <row r="11" spans="1:11" ht="39.75" customHeight="1" x14ac:dyDescent="0.3">
      <c r="B11" s="521" t="s">
        <v>773</v>
      </c>
      <c r="C11" s="4">
        <f>C7-C6+1</f>
        <v>12</v>
      </c>
      <c r="D11" s="132"/>
      <c r="E11" s="132"/>
      <c r="F11" s="132"/>
      <c r="G11" s="132"/>
    </row>
    <row r="12" spans="1:11" ht="39.75" customHeight="1" x14ac:dyDescent="0.3">
      <c r="B12" s="521" t="s">
        <v>774</v>
      </c>
      <c r="C12" s="4">
        <v>3</v>
      </c>
      <c r="D12" s="132"/>
      <c r="E12" s="132"/>
      <c r="F12" s="132"/>
      <c r="G12" s="132"/>
    </row>
    <row r="13" spans="1:11" ht="39.75" customHeight="1" x14ac:dyDescent="0.3">
      <c r="B13" s="521" t="s">
        <v>775</v>
      </c>
      <c r="C13" s="4">
        <f>C11-C12</f>
        <v>9</v>
      </c>
      <c r="D13" s="779"/>
      <c r="E13" s="779"/>
      <c r="F13" s="779"/>
      <c r="G13" s="132"/>
    </row>
    <row r="14" spans="1:11" ht="39.75" customHeight="1" x14ac:dyDescent="0.3">
      <c r="B14" s="521" t="s">
        <v>776</v>
      </c>
      <c r="C14" s="4">
        <f ca="1">SUMPRODUCT((WEEKDAY(ROW(INDIRECT(C$6&amp;":"&amp;C$7)))=7)*1)</f>
        <v>2</v>
      </c>
      <c r="D14" s="132"/>
      <c r="E14" s="132"/>
      <c r="F14" s="132"/>
      <c r="G14" s="132"/>
    </row>
    <row r="15" spans="1:11" ht="39.75" customHeight="1" x14ac:dyDescent="0.3">
      <c r="B15" s="521" t="s">
        <v>777</v>
      </c>
      <c r="C15" s="4">
        <f ca="1">C11-C14</f>
        <v>10</v>
      </c>
      <c r="D15" s="132"/>
      <c r="E15" s="132"/>
      <c r="F15" s="132"/>
      <c r="G15" s="132"/>
    </row>
    <row r="16" spans="1:11" ht="39.75" customHeight="1" x14ac:dyDescent="0.3">
      <c r="B16" s="521" t="s">
        <v>778</v>
      </c>
      <c r="C16" s="4">
        <f>NETWORKDAYS(C6,C7)</f>
        <v>8</v>
      </c>
      <c r="D16" s="132"/>
      <c r="E16" s="132"/>
      <c r="F16" s="132"/>
      <c r="G16" s="132"/>
    </row>
    <row r="17" spans="1:10" ht="39.75" customHeight="1" x14ac:dyDescent="0.3">
      <c r="B17" s="525"/>
      <c r="C17" s="132"/>
      <c r="D17" s="132"/>
      <c r="E17" s="132"/>
      <c r="F17" s="132"/>
      <c r="G17" s="132"/>
    </row>
    <row r="18" spans="1:10" ht="39.75" customHeight="1" x14ac:dyDescent="0.3">
      <c r="B18" s="525"/>
      <c r="C18" s="132"/>
      <c r="D18" s="132"/>
      <c r="E18" s="132"/>
      <c r="F18" s="132"/>
      <c r="G18" s="132"/>
    </row>
    <row r="19" spans="1:10" ht="39.75" customHeight="1" x14ac:dyDescent="0.3">
      <c r="B19" s="525"/>
      <c r="C19" s="132"/>
      <c r="D19" s="132"/>
      <c r="E19" s="132"/>
      <c r="F19" s="132"/>
      <c r="G19" s="132"/>
    </row>
    <row r="20" spans="1:10" ht="23.25" customHeight="1" x14ac:dyDescent="0.3">
      <c r="B20" s="132"/>
      <c r="C20" s="132"/>
      <c r="D20" s="526"/>
      <c r="E20" s="526"/>
      <c r="F20" s="526"/>
      <c r="G20" s="526"/>
    </row>
    <row r="21" spans="1:10" ht="23.25" customHeight="1" x14ac:dyDescent="0.3">
      <c r="B21" s="4" t="s">
        <v>779</v>
      </c>
      <c r="C21" s="527">
        <v>11.88</v>
      </c>
      <c r="D21" s="609" t="s">
        <v>780</v>
      </c>
      <c r="E21" s="609"/>
      <c r="F21" s="132"/>
      <c r="G21" s="132"/>
    </row>
    <row r="22" spans="1:10" ht="23.25" customHeight="1" x14ac:dyDescent="0.3">
      <c r="B22" s="322" t="s">
        <v>781</v>
      </c>
      <c r="C22" s="528">
        <v>11.88</v>
      </c>
      <c r="D22" s="776" t="s">
        <v>782</v>
      </c>
      <c r="E22" s="776"/>
      <c r="F22" s="529"/>
      <c r="G22" s="529"/>
    </row>
    <row r="23" spans="1:10" ht="14.4" x14ac:dyDescent="0.3">
      <c r="B23" s="4" t="s">
        <v>237</v>
      </c>
      <c r="C23" s="129" t="s">
        <v>486</v>
      </c>
      <c r="D23" s="129" t="s">
        <v>487</v>
      </c>
      <c r="E23" s="129" t="s">
        <v>535</v>
      </c>
      <c r="F23" s="129" t="s">
        <v>536</v>
      </c>
      <c r="G23" s="129" t="s">
        <v>783</v>
      </c>
      <c r="J23" s="530"/>
    </row>
    <row r="24" spans="1:10" ht="38.25" customHeight="1" x14ac:dyDescent="0.3">
      <c r="B24" s="777" t="s">
        <v>784</v>
      </c>
      <c r="C24" s="777"/>
      <c r="D24" s="777"/>
      <c r="E24" s="777"/>
      <c r="F24" s="777"/>
      <c r="G24" s="777"/>
      <c r="J24" s="530"/>
    </row>
    <row r="25" spans="1:10" ht="30.75" customHeight="1" x14ac:dyDescent="0.3">
      <c r="A25" s="4">
        <v>10</v>
      </c>
      <c r="B25" s="531" t="s">
        <v>785</v>
      </c>
      <c r="C25" s="532" t="s">
        <v>786</v>
      </c>
      <c r="D25" s="532" t="s">
        <v>787</v>
      </c>
      <c r="E25" s="532" t="s">
        <v>788</v>
      </c>
      <c r="F25" s="532" t="s">
        <v>789</v>
      </c>
      <c r="G25" s="532" t="s">
        <v>790</v>
      </c>
    </row>
    <row r="26" spans="1:10" ht="48" customHeight="1" x14ac:dyDescent="0.3">
      <c r="A26" s="4">
        <v>11</v>
      </c>
      <c r="B26" s="533" t="s">
        <v>791</v>
      </c>
      <c r="C26" s="778" t="s">
        <v>792</v>
      </c>
      <c r="D26" s="778"/>
      <c r="E26" s="534" t="s">
        <v>793</v>
      </c>
      <c r="F26" s="535" t="s">
        <v>794</v>
      </c>
      <c r="G26" s="534" t="s">
        <v>795</v>
      </c>
    </row>
    <row r="27" spans="1:10" ht="38.25" customHeight="1" x14ac:dyDescent="0.3">
      <c r="A27" s="4">
        <v>12</v>
      </c>
      <c r="B27" s="536" t="s">
        <v>796</v>
      </c>
      <c r="C27" s="537" t="s">
        <v>797</v>
      </c>
      <c r="D27" s="538" t="s">
        <v>798</v>
      </c>
      <c r="E27" s="539">
        <v>2800</v>
      </c>
      <c r="F27" s="540">
        <f>IF(C7&lt;C5,(IF(B27="202N",1.8*C21*151.67,1.8*C22*151.67)),(IF(B27="202N",1.4*C21*151.67,1.4*C21*151.67)))</f>
        <v>3243.3112799999999</v>
      </c>
      <c r="G27" s="541">
        <f>MIN(F27,E27)</f>
        <v>2800</v>
      </c>
    </row>
    <row r="28" spans="1:10" ht="38.25" customHeight="1" x14ac:dyDescent="0.3">
      <c r="A28" s="4">
        <v>13</v>
      </c>
      <c r="B28" s="536" t="s">
        <v>799</v>
      </c>
      <c r="C28" s="537" t="s">
        <v>800</v>
      </c>
      <c r="D28" s="538" t="s">
        <v>500</v>
      </c>
      <c r="E28" s="539">
        <v>2500</v>
      </c>
      <c r="F28" s="540">
        <f>F27</f>
        <v>3243.3112799999999</v>
      </c>
      <c r="G28" s="541">
        <f>MIN(F28,E28)</f>
        <v>2500</v>
      </c>
    </row>
    <row r="29" spans="1:10" ht="38.25" customHeight="1" x14ac:dyDescent="0.3">
      <c r="A29" s="4">
        <v>14</v>
      </c>
      <c r="B29" s="536" t="s">
        <v>799</v>
      </c>
      <c r="C29" s="537" t="s">
        <v>801</v>
      </c>
      <c r="D29" s="538" t="s">
        <v>501</v>
      </c>
      <c r="E29" s="539">
        <v>3300</v>
      </c>
      <c r="F29" s="540">
        <f>F28</f>
        <v>3243.3112799999999</v>
      </c>
      <c r="G29" s="541">
        <f>MIN(F29,E29)</f>
        <v>3243.3112799999999</v>
      </c>
    </row>
    <row r="30" spans="1:10" ht="38.25" customHeight="1" x14ac:dyDescent="0.3">
      <c r="B30" s="542"/>
      <c r="C30" s="542"/>
      <c r="D30" s="543"/>
      <c r="E30" s="543"/>
      <c r="F30" s="544" t="s">
        <v>530</v>
      </c>
      <c r="G30" s="539">
        <f>SUM(G27:G29)</f>
        <v>8543.3112799999999</v>
      </c>
    </row>
    <row r="31" spans="1:10" ht="38.25" customHeight="1" x14ac:dyDescent="0.3">
      <c r="B31" s="542"/>
      <c r="C31" s="542"/>
      <c r="D31" s="529"/>
      <c r="E31" s="529"/>
      <c r="F31" s="537" t="s">
        <v>802</v>
      </c>
      <c r="G31" s="539">
        <f>ROUND(G30*0.5/91.25,6)</f>
        <v>46.812665000000003</v>
      </c>
    </row>
    <row r="32" spans="1:10" ht="38.25" customHeight="1" x14ac:dyDescent="0.3">
      <c r="B32" s="542"/>
      <c r="C32" s="542"/>
      <c r="D32" s="529"/>
      <c r="E32" s="529"/>
      <c r="F32" s="545" t="s">
        <v>803</v>
      </c>
      <c r="G32" s="546">
        <f>C13</f>
        <v>9</v>
      </c>
    </row>
    <row r="33" spans="2:9" ht="38.25" customHeight="1" x14ac:dyDescent="0.3">
      <c r="B33" s="542"/>
      <c r="C33" s="542"/>
      <c r="D33" s="529"/>
      <c r="E33" s="529"/>
      <c r="F33" s="537" t="s">
        <v>804</v>
      </c>
      <c r="G33" s="539">
        <f>ROUND(G31*G32,2)</f>
        <v>421.31</v>
      </c>
    </row>
    <row r="34" spans="2:9" ht="38.25" customHeight="1" x14ac:dyDescent="0.3">
      <c r="B34" s="542"/>
      <c r="C34" s="542"/>
      <c r="D34" s="529"/>
      <c r="E34" s="529"/>
      <c r="F34" s="537" t="s">
        <v>805</v>
      </c>
      <c r="G34" s="539">
        <f>ROUND(G33*0.933,2)</f>
        <v>393.08</v>
      </c>
    </row>
    <row r="35" spans="2:9" ht="38.25" customHeight="1" x14ac:dyDescent="0.3">
      <c r="B35" s="542"/>
      <c r="C35" s="542"/>
      <c r="D35" s="529"/>
      <c r="E35" s="529"/>
      <c r="F35" s="547" t="s">
        <v>806</v>
      </c>
      <c r="G35" s="539">
        <f>G33*2.9%</f>
        <v>12.217989999999999</v>
      </c>
      <c r="H35" s="779" t="s">
        <v>807</v>
      </c>
      <c r="I35" s="779"/>
    </row>
    <row r="36" spans="2:9" ht="38.25" customHeight="1" x14ac:dyDescent="0.3">
      <c r="F36" s="547" t="s">
        <v>808</v>
      </c>
      <c r="G36" s="539">
        <f>G33*3.8%</f>
        <v>16.009779999999999</v>
      </c>
      <c r="H36" s="779"/>
      <c r="I36" s="779"/>
    </row>
    <row r="37" spans="2:9" ht="105" customHeight="1" x14ac:dyDescent="0.3"/>
    <row r="38" spans="2:9" ht="33.75" customHeight="1" x14ac:dyDescent="0.3">
      <c r="B38" s="780" t="s">
        <v>809</v>
      </c>
      <c r="C38" s="780"/>
      <c r="D38" s="780"/>
      <c r="E38" s="780"/>
      <c r="F38" s="780"/>
      <c r="G38" s="780"/>
    </row>
    <row r="39" spans="2:9" ht="33" customHeight="1" x14ac:dyDescent="0.3">
      <c r="B39" s="548" t="s">
        <v>767</v>
      </c>
      <c r="C39" s="549">
        <f>C6</f>
        <v>45736</v>
      </c>
      <c r="D39" s="550"/>
      <c r="E39" s="550"/>
      <c r="F39" s="550"/>
      <c r="G39" s="5"/>
    </row>
    <row r="40" spans="2:9" ht="33" customHeight="1" x14ac:dyDescent="0.3">
      <c r="B40" s="338" t="s">
        <v>768</v>
      </c>
      <c r="C40" s="551">
        <f>C7</f>
        <v>45747</v>
      </c>
      <c r="D40" s="550"/>
      <c r="E40" s="550"/>
      <c r="F40" s="550"/>
      <c r="G40" s="151"/>
    </row>
    <row r="41" spans="2:9" ht="33" customHeight="1" x14ac:dyDescent="0.3">
      <c r="B41" s="338" t="s">
        <v>770</v>
      </c>
      <c r="C41" s="551">
        <f>C8</f>
        <v>45717</v>
      </c>
      <c r="D41" s="522"/>
      <c r="E41" s="522"/>
      <c r="F41" s="522"/>
      <c r="G41" s="132"/>
    </row>
    <row r="42" spans="2:9" ht="33" customHeight="1" x14ac:dyDescent="0.3">
      <c r="B42" s="338" t="s">
        <v>771</v>
      </c>
      <c r="C42" s="551">
        <f>C9</f>
        <v>45747</v>
      </c>
      <c r="D42" s="522"/>
      <c r="E42" s="522"/>
      <c r="F42" s="522"/>
      <c r="G42" s="132"/>
    </row>
    <row r="43" spans="2:9" ht="33" customHeight="1" x14ac:dyDescent="0.3">
      <c r="B43" s="338" t="s">
        <v>810</v>
      </c>
      <c r="C43" s="552">
        <f>C10</f>
        <v>0</v>
      </c>
      <c r="D43" s="132"/>
      <c r="E43" s="132"/>
      <c r="F43" s="132"/>
      <c r="G43" s="132"/>
    </row>
    <row r="44" spans="2:9" ht="33.75" customHeight="1" x14ac:dyDescent="0.3">
      <c r="B44" s="553" t="s">
        <v>773</v>
      </c>
      <c r="C44" s="553">
        <f>C40-C39+1</f>
        <v>12</v>
      </c>
      <c r="D44" s="132"/>
      <c r="E44" s="132"/>
      <c r="F44" s="132"/>
      <c r="G44" s="132"/>
    </row>
    <row r="45" spans="2:9" ht="33.75" customHeight="1" x14ac:dyDescent="0.3">
      <c r="B45" s="554" t="s">
        <v>811</v>
      </c>
      <c r="C45" s="554">
        <f ca="1">SUMPRODUCT((WEEKDAY(ROW(INDIRECT(C$39&amp;":"&amp;C$40)))=7)*1)</f>
        <v>2</v>
      </c>
      <c r="D45" s="132"/>
      <c r="E45" s="132"/>
      <c r="F45" s="132"/>
      <c r="G45" s="132"/>
    </row>
    <row r="46" spans="2:9" ht="33.75" customHeight="1" x14ac:dyDescent="0.3">
      <c r="B46" s="553" t="s">
        <v>812</v>
      </c>
      <c r="C46" s="553">
        <f>NETWORKDAYS(C39,C40)</f>
        <v>8</v>
      </c>
      <c r="D46" s="132"/>
      <c r="E46" s="132"/>
      <c r="F46" s="132"/>
      <c r="G46" s="132"/>
    </row>
    <row r="47" spans="2:9" ht="57" customHeight="1" x14ac:dyDescent="0.3">
      <c r="B47" s="553" t="s">
        <v>813</v>
      </c>
      <c r="C47" s="553">
        <f ca="1">C44-C45</f>
        <v>10</v>
      </c>
      <c r="D47" s="132"/>
      <c r="E47" s="132"/>
      <c r="F47" s="132"/>
      <c r="G47" s="132"/>
    </row>
    <row r="48" spans="2:9" ht="50.25" customHeight="1" x14ac:dyDescent="0.3">
      <c r="B48" s="555" t="s">
        <v>814</v>
      </c>
      <c r="C48" s="555"/>
      <c r="D48" s="5"/>
      <c r="E48" s="5"/>
      <c r="F48" s="5"/>
      <c r="G48" s="5"/>
    </row>
    <row r="49" spans="2:7" ht="48" customHeight="1" x14ac:dyDescent="0.3">
      <c r="B49" s="555" t="s">
        <v>815</v>
      </c>
      <c r="C49" s="555"/>
      <c r="D49" s="5"/>
      <c r="E49" s="5"/>
      <c r="F49" s="5"/>
      <c r="G49" s="5"/>
    </row>
    <row r="50" spans="2:7" ht="45" customHeight="1" x14ac:dyDescent="0.3">
      <c r="B50" s="556" t="s">
        <v>816</v>
      </c>
      <c r="C50" s="553">
        <v>147</v>
      </c>
      <c r="D50" s="132"/>
      <c r="E50" s="132"/>
      <c r="F50" s="132"/>
      <c r="G50" s="132"/>
    </row>
    <row r="51" spans="2:7" ht="44.25" customHeight="1" x14ac:dyDescent="0.3">
      <c r="B51" s="554" t="s">
        <v>817</v>
      </c>
      <c r="C51" s="554">
        <f>NETWORKDAYS(C41,C42)</f>
        <v>21</v>
      </c>
      <c r="D51" s="132"/>
      <c r="E51" s="132"/>
      <c r="F51" s="132"/>
      <c r="G51" s="132"/>
    </row>
    <row r="52" spans="2:7" ht="38.25" customHeight="1" x14ac:dyDescent="0.3">
      <c r="B52" s="553" t="s">
        <v>818</v>
      </c>
      <c r="C52" s="553">
        <f>ROUND(C43*C46/C51,2)</f>
        <v>0</v>
      </c>
      <c r="D52" s="132"/>
      <c r="E52" s="132"/>
      <c r="F52" s="132"/>
      <c r="G52" s="132"/>
    </row>
    <row r="53" spans="2:7" ht="28.5" customHeight="1" x14ac:dyDescent="0.3">
      <c r="B53" s="553" t="s">
        <v>819</v>
      </c>
      <c r="C53" s="553">
        <f>ROUND(C43*C46/22,2)</f>
        <v>0</v>
      </c>
      <c r="D53" s="132"/>
      <c r="E53" s="132"/>
      <c r="F53" s="132"/>
      <c r="G53" s="132"/>
    </row>
    <row r="54" spans="2:7" ht="41.25" customHeight="1" x14ac:dyDescent="0.3">
      <c r="B54" s="553" t="s">
        <v>820</v>
      </c>
      <c r="C54" s="553">
        <f>ROUND(C43*C46/21.67,2)</f>
        <v>0</v>
      </c>
      <c r="D54" s="132"/>
      <c r="E54" s="132"/>
      <c r="F54" s="132"/>
      <c r="G54" s="132"/>
    </row>
    <row r="55" spans="2:7" ht="36" customHeight="1" x14ac:dyDescent="0.3">
      <c r="B55" s="554" t="s">
        <v>821</v>
      </c>
      <c r="C55" s="554">
        <f>C42-C41+1</f>
        <v>31</v>
      </c>
      <c r="D55" s="132"/>
      <c r="E55" s="132"/>
      <c r="F55" s="132"/>
      <c r="G55" s="132"/>
    </row>
    <row r="56" spans="2:7" ht="39" customHeight="1" x14ac:dyDescent="0.3">
      <c r="B56" s="553" t="s">
        <v>822</v>
      </c>
      <c r="C56" s="553">
        <f>ROUND(C43*C44/C55,2)</f>
        <v>0</v>
      </c>
      <c r="D56" s="132"/>
      <c r="E56" s="132"/>
      <c r="F56" s="132"/>
      <c r="G56" s="132"/>
    </row>
    <row r="57" spans="2:7" ht="42" customHeight="1" x14ac:dyDescent="0.3">
      <c r="B57" s="553" t="s">
        <v>823</v>
      </c>
      <c r="C57" s="553">
        <f>ROUND(C43*C44/30,2)</f>
        <v>0</v>
      </c>
      <c r="D57" s="132"/>
      <c r="E57" s="132"/>
      <c r="F57" s="132"/>
      <c r="G57" s="132"/>
    </row>
    <row r="58" spans="2:7" ht="36" customHeight="1" x14ac:dyDescent="0.3">
      <c r="B58" s="554" t="s">
        <v>824</v>
      </c>
      <c r="C58" s="554">
        <f ca="1">SUMPRODUCT((WEEKDAY(ROW(INDIRECT($C41&amp;":"&amp;$C42)))=7)*1)</f>
        <v>5</v>
      </c>
      <c r="D58" s="132"/>
      <c r="E58" s="132"/>
      <c r="F58" s="132"/>
      <c r="G58" s="132"/>
    </row>
    <row r="59" spans="2:7" ht="36" customHeight="1" x14ac:dyDescent="0.3">
      <c r="B59" s="554" t="s">
        <v>825</v>
      </c>
      <c r="C59" s="554">
        <f ca="1">C55-C58</f>
        <v>26</v>
      </c>
      <c r="D59" s="132"/>
      <c r="E59" s="132"/>
      <c r="F59" s="132"/>
      <c r="G59" s="132"/>
    </row>
    <row r="60" spans="2:7" ht="39.75" customHeight="1" x14ac:dyDescent="0.3">
      <c r="B60" s="553" t="s">
        <v>826</v>
      </c>
      <c r="C60" s="553">
        <f ca="1">ROUND(C43*C47/C59,2)</f>
        <v>0</v>
      </c>
      <c r="D60" s="132"/>
      <c r="E60" s="132"/>
      <c r="F60" s="132"/>
      <c r="G60" s="132"/>
    </row>
    <row r="61" spans="2:7" ht="39.75" customHeight="1" x14ac:dyDescent="0.3">
      <c r="B61" s="553" t="s">
        <v>827</v>
      </c>
      <c r="C61" s="553">
        <f ca="1">ROUND(C43*C47/26,2)</f>
        <v>0</v>
      </c>
      <c r="D61" s="132"/>
      <c r="E61" s="132"/>
      <c r="F61" s="132"/>
      <c r="G61" s="132"/>
    </row>
  </sheetData>
  <mergeCells count="15">
    <mergeCell ref="B1:G1"/>
    <mergeCell ref="B2:G2"/>
    <mergeCell ref="B3:C3"/>
    <mergeCell ref="D3:G3"/>
    <mergeCell ref="B4:C4"/>
    <mergeCell ref="E5:E6"/>
    <mergeCell ref="F5:G6"/>
    <mergeCell ref="F7:G7"/>
    <mergeCell ref="D13:F13"/>
    <mergeCell ref="D21:E21"/>
    <mergeCell ref="D22:E22"/>
    <mergeCell ref="B24:G24"/>
    <mergeCell ref="C26:D26"/>
    <mergeCell ref="H35:I36"/>
    <mergeCell ref="B38:G38"/>
  </mergeCells>
  <pageMargins left="0.70833333333333304" right="0.70833333333333304" top="0" bottom="0" header="0.511811023622047" footer="0.511811023622047"/>
  <pageSetup paperSize="9" scale="80" orientation="landscape"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63"/>
  <sheetViews>
    <sheetView topLeftCell="A21" zoomScaleNormal="100" workbookViewId="0">
      <selection activeCell="G28" sqref="G28"/>
    </sheetView>
  </sheetViews>
  <sheetFormatPr baseColWidth="10" defaultColWidth="10.5546875" defaultRowHeight="14.25" customHeight="1" x14ac:dyDescent="0.3"/>
  <cols>
    <col min="1" max="1" width="7" style="132" customWidth="1"/>
    <col min="2" max="2" width="23.33203125" customWidth="1"/>
    <col min="3" max="4" width="14.88671875" customWidth="1"/>
    <col min="5" max="5" width="15.77734375" customWidth="1"/>
    <col min="6" max="6" width="14.88671875" customWidth="1"/>
    <col min="7" max="7" width="16.33203125" customWidth="1"/>
  </cols>
  <sheetData>
    <row r="1" spans="2:7" ht="26.25" customHeight="1" x14ac:dyDescent="0.3">
      <c r="B1" s="789" t="s">
        <v>828</v>
      </c>
      <c r="C1" s="789"/>
      <c r="D1" s="789"/>
      <c r="E1" s="789"/>
      <c r="F1" s="789"/>
      <c r="G1" s="789"/>
    </row>
    <row r="2" spans="2:7" ht="26.25" customHeight="1" x14ac:dyDescent="0.3">
      <c r="B2" s="783" t="s">
        <v>829</v>
      </c>
      <c r="C2" s="783"/>
      <c r="D2" s="783"/>
      <c r="E2" s="783"/>
      <c r="F2" s="783"/>
      <c r="G2" s="783"/>
    </row>
    <row r="3" spans="2:7" ht="23.25" customHeight="1" x14ac:dyDescent="0.3">
      <c r="B3" s="609" t="s">
        <v>762</v>
      </c>
      <c r="C3" s="609"/>
      <c r="D3" s="784" t="s">
        <v>763</v>
      </c>
      <c r="E3" s="784"/>
      <c r="F3" s="784"/>
      <c r="G3" s="784"/>
    </row>
    <row r="4" spans="2:7" ht="26.25" customHeight="1" x14ac:dyDescent="0.3">
      <c r="B4" s="785" t="s">
        <v>764</v>
      </c>
      <c r="C4" s="785"/>
      <c r="D4" s="132"/>
      <c r="F4" s="132"/>
      <c r="G4" s="132"/>
    </row>
    <row r="5" spans="2:7" ht="27.75" customHeight="1" x14ac:dyDescent="0.3">
      <c r="B5" s="521" t="s">
        <v>830</v>
      </c>
      <c r="C5" s="520">
        <v>45748</v>
      </c>
      <c r="E5" s="787">
        <f>ROUND(1.4*11.88*151.67*3*50%/91.25,2)</f>
        <v>41.47</v>
      </c>
      <c r="F5" s="609" t="s">
        <v>766</v>
      </c>
      <c r="G5" s="609"/>
    </row>
    <row r="6" spans="2:7" ht="41.25" customHeight="1" x14ac:dyDescent="0.3">
      <c r="B6" s="521" t="s">
        <v>767</v>
      </c>
      <c r="C6" s="520">
        <v>45757</v>
      </c>
      <c r="D6" s="522"/>
      <c r="E6" s="787"/>
      <c r="F6" s="609"/>
      <c r="G6" s="609"/>
    </row>
    <row r="7" spans="2:7" ht="41.25" customHeight="1" x14ac:dyDescent="0.3">
      <c r="B7" s="521" t="s">
        <v>768</v>
      </c>
      <c r="C7" s="520">
        <v>45802</v>
      </c>
      <c r="D7" s="522"/>
      <c r="E7" s="522"/>
      <c r="F7" s="522"/>
      <c r="G7" s="522"/>
    </row>
    <row r="8" spans="2:7" ht="41.25" customHeight="1" x14ac:dyDescent="0.3">
      <c r="B8" s="4" t="s">
        <v>770</v>
      </c>
      <c r="C8" s="520">
        <v>45748</v>
      </c>
      <c r="D8" s="522"/>
      <c r="E8" s="522"/>
      <c r="F8" s="522"/>
      <c r="G8" s="132"/>
    </row>
    <row r="9" spans="2:7" ht="41.25" customHeight="1" x14ac:dyDescent="0.3">
      <c r="B9" s="4" t="s">
        <v>771</v>
      </c>
      <c r="C9" s="520" t="s">
        <v>831</v>
      </c>
      <c r="D9" s="522"/>
      <c r="E9" s="522"/>
      <c r="F9" s="522"/>
      <c r="G9" s="132"/>
    </row>
    <row r="10" spans="2:7" ht="41.25" customHeight="1" x14ac:dyDescent="0.3">
      <c r="B10" s="4" t="s">
        <v>772</v>
      </c>
      <c r="C10" s="524"/>
      <c r="D10" s="522"/>
      <c r="E10" s="522"/>
      <c r="F10" s="522"/>
      <c r="G10" s="132"/>
    </row>
    <row r="11" spans="2:7" ht="39.75" customHeight="1" x14ac:dyDescent="0.3">
      <c r="B11" s="521" t="s">
        <v>773</v>
      </c>
      <c r="C11" s="4">
        <f>C7-C6+1</f>
        <v>46</v>
      </c>
      <c r="D11" s="132"/>
      <c r="E11" s="132"/>
      <c r="F11" s="132"/>
      <c r="G11" s="132"/>
    </row>
    <row r="12" spans="2:7" ht="39.75" customHeight="1" x14ac:dyDescent="0.3">
      <c r="B12" s="521" t="s">
        <v>774</v>
      </c>
      <c r="C12" s="4">
        <v>3</v>
      </c>
      <c r="D12" s="132"/>
      <c r="E12" s="132"/>
      <c r="F12" s="132"/>
      <c r="G12" s="132"/>
    </row>
    <row r="13" spans="2:7" ht="39.75" customHeight="1" x14ac:dyDescent="0.3">
      <c r="B13" s="521" t="s">
        <v>775</v>
      </c>
      <c r="C13" s="4">
        <f>C11-C12</f>
        <v>43</v>
      </c>
      <c r="D13" s="779"/>
      <c r="E13" s="779"/>
      <c r="F13" s="779"/>
      <c r="G13" s="132"/>
    </row>
    <row r="14" spans="2:7" ht="39.75" customHeight="1" x14ac:dyDescent="0.3">
      <c r="B14" s="521" t="s">
        <v>776</v>
      </c>
      <c r="C14" s="4">
        <f ca="1">SUMPRODUCT((WEEKDAY(ROW(INDIRECT(C$6&amp;":"&amp;C$7)))=7)*1)</f>
        <v>7</v>
      </c>
      <c r="D14" s="132"/>
      <c r="E14" s="132"/>
      <c r="F14" s="132"/>
      <c r="G14" s="132"/>
    </row>
    <row r="15" spans="2:7" ht="39.75" customHeight="1" x14ac:dyDescent="0.3">
      <c r="B15" s="521" t="s">
        <v>777</v>
      </c>
      <c r="C15" s="4">
        <f ca="1">C11-C14</f>
        <v>39</v>
      </c>
      <c r="D15" s="132"/>
      <c r="E15" s="132"/>
      <c r="F15" s="132"/>
      <c r="G15" s="132"/>
    </row>
    <row r="16" spans="2:7" ht="39.75" customHeight="1" x14ac:dyDescent="0.3">
      <c r="B16" s="521" t="s">
        <v>778</v>
      </c>
      <c r="C16" s="4">
        <f>NETWORKDAYS(C6,C7)</f>
        <v>32</v>
      </c>
      <c r="D16" s="132"/>
      <c r="E16" s="132"/>
      <c r="F16" s="132"/>
      <c r="G16" s="132"/>
    </row>
    <row r="17" spans="2:10" ht="39.75" customHeight="1" x14ac:dyDescent="0.3">
      <c r="B17" s="525"/>
      <c r="C17" s="132"/>
      <c r="D17" s="132"/>
      <c r="E17" s="132"/>
      <c r="F17" s="132"/>
      <c r="G17" s="132"/>
    </row>
    <row r="18" spans="2:10" ht="39.75" customHeight="1" x14ac:dyDescent="0.3">
      <c r="B18" s="525"/>
      <c r="C18" s="132"/>
      <c r="D18" s="132"/>
      <c r="E18" s="132"/>
      <c r="F18" s="132"/>
      <c r="G18" s="132"/>
    </row>
    <row r="19" spans="2:10" ht="39.75" customHeight="1" x14ac:dyDescent="0.3">
      <c r="B19" s="525"/>
      <c r="C19" s="132"/>
      <c r="D19" s="132"/>
      <c r="E19" s="132"/>
      <c r="F19" s="132"/>
      <c r="G19" s="132"/>
    </row>
    <row r="20" spans="2:10" ht="39.75" customHeight="1" x14ac:dyDescent="0.3">
      <c r="B20" s="525"/>
      <c r="C20" s="132"/>
      <c r="D20" s="132"/>
      <c r="E20" s="132"/>
      <c r="F20" s="132"/>
      <c r="G20" s="132"/>
    </row>
    <row r="21" spans="2:10" ht="23.25" customHeight="1" x14ac:dyDescent="0.3">
      <c r="B21" s="4" t="s">
        <v>779</v>
      </c>
      <c r="C21" s="557">
        <v>11.88</v>
      </c>
      <c r="D21" s="609" t="s">
        <v>780</v>
      </c>
      <c r="E21" s="609"/>
      <c r="F21" s="132"/>
      <c r="G21" s="132"/>
    </row>
    <row r="22" spans="2:10" ht="23.25" customHeight="1" x14ac:dyDescent="0.3">
      <c r="B22" s="4" t="s">
        <v>781</v>
      </c>
      <c r="C22" s="558">
        <v>11.88</v>
      </c>
      <c r="D22" s="788" t="s">
        <v>782</v>
      </c>
      <c r="E22" s="788"/>
      <c r="F22" s="529"/>
      <c r="G22" s="529"/>
    </row>
    <row r="23" spans="2:10" ht="14.4" x14ac:dyDescent="0.3">
      <c r="J23" s="530"/>
    </row>
    <row r="24" spans="2:10" ht="38.25" customHeight="1" x14ac:dyDescent="0.3">
      <c r="B24" s="786" t="s">
        <v>832</v>
      </c>
      <c r="C24" s="786"/>
      <c r="D24" s="786"/>
      <c r="E24" s="786"/>
      <c r="F24" s="786"/>
      <c r="G24" s="786"/>
      <c r="J24" s="530"/>
    </row>
    <row r="25" spans="2:10" ht="14.4" x14ac:dyDescent="0.3">
      <c r="B25" s="531" t="s">
        <v>785</v>
      </c>
      <c r="C25" s="532" t="s">
        <v>786</v>
      </c>
      <c r="D25" s="532" t="s">
        <v>787</v>
      </c>
      <c r="E25" s="532" t="s">
        <v>788</v>
      </c>
      <c r="F25" s="532" t="s">
        <v>789</v>
      </c>
      <c r="G25" s="532" t="s">
        <v>790</v>
      </c>
    </row>
    <row r="26" spans="2:10" ht="48" customHeight="1" x14ac:dyDescent="0.3">
      <c r="B26" s="533" t="s">
        <v>791</v>
      </c>
      <c r="C26" s="778" t="s">
        <v>792</v>
      </c>
      <c r="D26" s="778"/>
      <c r="E26" s="534" t="s">
        <v>793</v>
      </c>
      <c r="F26" s="535" t="s">
        <v>794</v>
      </c>
      <c r="G26" s="534" t="s">
        <v>795</v>
      </c>
    </row>
    <row r="27" spans="2:10" ht="38.25" customHeight="1" x14ac:dyDescent="0.3">
      <c r="B27" s="559" t="s">
        <v>799</v>
      </c>
      <c r="C27" s="537" t="s">
        <v>833</v>
      </c>
      <c r="D27" s="560" t="s">
        <v>500</v>
      </c>
      <c r="E27" s="539">
        <v>2600</v>
      </c>
      <c r="F27" s="540">
        <f>IF(C7&lt;C5,(IF(B27="202N",1.8*C21*151.67,1.8*C22*151.67)),(IF(B27="202N",1.4*C21*151.67,1.4*C21*151.67)))</f>
        <v>2522.5754400000001</v>
      </c>
      <c r="G27" s="541">
        <f>MIN(F27,E27)</f>
        <v>2522.5754400000001</v>
      </c>
    </row>
    <row r="28" spans="2:10" ht="38.25" customHeight="1" x14ac:dyDescent="0.3">
      <c r="B28" s="559" t="s">
        <v>799</v>
      </c>
      <c r="C28" s="537" t="s">
        <v>834</v>
      </c>
      <c r="D28" s="560" t="s">
        <v>501</v>
      </c>
      <c r="E28" s="539">
        <v>2200</v>
      </c>
      <c r="F28" s="540">
        <f>F27</f>
        <v>2522.5754400000001</v>
      </c>
      <c r="G28" s="541">
        <f>MIN(F28,E28)</f>
        <v>2200</v>
      </c>
    </row>
    <row r="29" spans="2:10" ht="38.25" customHeight="1" x14ac:dyDescent="0.3">
      <c r="B29" s="559" t="s">
        <v>799</v>
      </c>
      <c r="C29" s="537" t="s">
        <v>801</v>
      </c>
      <c r="D29" s="560" t="s">
        <v>835</v>
      </c>
      <c r="E29" s="539">
        <v>2200</v>
      </c>
      <c r="F29" s="540">
        <f>F28</f>
        <v>2522.5754400000001</v>
      </c>
      <c r="G29" s="541">
        <f>MIN(F29,E29)</f>
        <v>2200</v>
      </c>
    </row>
    <row r="30" spans="2:10" ht="38.25" customHeight="1" x14ac:dyDescent="0.3">
      <c r="B30" s="542"/>
      <c r="C30" s="542"/>
      <c r="D30" s="543"/>
      <c r="E30" s="543"/>
      <c r="F30" s="544" t="s">
        <v>530</v>
      </c>
      <c r="G30" s="539">
        <f>SUM(G27:G29)</f>
        <v>6922.5754400000005</v>
      </c>
    </row>
    <row r="31" spans="2:10" ht="38.25" customHeight="1" x14ac:dyDescent="0.3">
      <c r="B31" s="542"/>
      <c r="C31" s="542"/>
      <c r="D31" s="529"/>
      <c r="E31" s="529"/>
      <c r="F31" s="537" t="s">
        <v>802</v>
      </c>
      <c r="G31" s="539">
        <f>ROUND(G30*0.5/91.25,6)</f>
        <v>37.931919999999998</v>
      </c>
    </row>
    <row r="32" spans="2:10" ht="38.25" customHeight="1" x14ac:dyDescent="0.3">
      <c r="B32" s="542"/>
      <c r="C32" s="542"/>
      <c r="D32" s="529"/>
      <c r="E32" s="529"/>
      <c r="F32" s="545" t="s">
        <v>803</v>
      </c>
      <c r="G32" s="546">
        <f>C13</f>
        <v>43</v>
      </c>
    </row>
    <row r="33" spans="2:9" ht="38.25" customHeight="1" x14ac:dyDescent="0.3">
      <c r="B33" s="542"/>
      <c r="C33" s="542"/>
      <c r="D33" s="529"/>
      <c r="E33" s="529"/>
      <c r="F33" s="537" t="s">
        <v>804</v>
      </c>
      <c r="G33" s="539">
        <f>ROUND(G31*G32,2)</f>
        <v>1631.07</v>
      </c>
    </row>
    <row r="34" spans="2:9" ht="38.25" customHeight="1" x14ac:dyDescent="0.3">
      <c r="B34" s="542"/>
      <c r="C34" s="542"/>
      <c r="D34" s="529"/>
      <c r="E34" s="529"/>
      <c r="F34" s="537" t="s">
        <v>805</v>
      </c>
      <c r="G34" s="539">
        <f>ROUND(G33*0.933,2)</f>
        <v>1521.79</v>
      </c>
    </row>
    <row r="35" spans="2:9" ht="38.25" customHeight="1" x14ac:dyDescent="0.3">
      <c r="B35" s="542"/>
      <c r="C35" s="542"/>
      <c r="D35" s="529"/>
      <c r="E35" s="529"/>
      <c r="F35" s="547" t="s">
        <v>806</v>
      </c>
      <c r="G35" s="539">
        <f>G33*2.9%</f>
        <v>47.301029999999997</v>
      </c>
      <c r="H35" s="779" t="s">
        <v>807</v>
      </c>
      <c r="I35" s="779"/>
    </row>
    <row r="36" spans="2:9" ht="38.25" customHeight="1" x14ac:dyDescent="0.3">
      <c r="F36" s="547" t="s">
        <v>808</v>
      </c>
      <c r="G36" s="539">
        <f>G33*3.8%</f>
        <v>61.980659999999993</v>
      </c>
      <c r="H36" s="779"/>
      <c r="I36" s="779"/>
    </row>
    <row r="37" spans="2:9" ht="38.25" customHeight="1" x14ac:dyDescent="0.3">
      <c r="F37" s="561"/>
      <c r="G37" s="359"/>
      <c r="H37" s="132"/>
      <c r="I37" s="132"/>
    </row>
    <row r="38" spans="2:9" ht="38.25" customHeight="1" x14ac:dyDescent="0.3">
      <c r="F38" s="561"/>
      <c r="G38" s="359"/>
      <c r="H38" s="132"/>
      <c r="I38" s="132"/>
    </row>
    <row r="39" spans="2:9" ht="42" customHeight="1" x14ac:dyDescent="0.3"/>
    <row r="40" spans="2:9" ht="33.75" customHeight="1" x14ac:dyDescent="0.3">
      <c r="B40" s="780" t="s">
        <v>809</v>
      </c>
      <c r="C40" s="780"/>
      <c r="D40" s="780"/>
      <c r="E40" s="780"/>
      <c r="F40" s="780"/>
      <c r="G40" s="780"/>
    </row>
    <row r="41" spans="2:9" ht="33" customHeight="1" x14ac:dyDescent="0.3">
      <c r="B41" s="548" t="s">
        <v>767</v>
      </c>
      <c r="C41" s="549">
        <f>C6</f>
        <v>45757</v>
      </c>
      <c r="D41" s="550"/>
      <c r="E41" s="550"/>
      <c r="F41" s="550"/>
      <c r="G41" s="5"/>
    </row>
    <row r="42" spans="2:9" ht="33" customHeight="1" x14ac:dyDescent="0.3">
      <c r="B42" s="338" t="s">
        <v>768</v>
      </c>
      <c r="C42" s="551">
        <f>C7</f>
        <v>45802</v>
      </c>
      <c r="D42" s="550"/>
      <c r="E42" s="550"/>
      <c r="F42" s="550"/>
      <c r="G42" s="151"/>
    </row>
    <row r="43" spans="2:9" ht="33" customHeight="1" x14ac:dyDescent="0.3">
      <c r="B43" s="338" t="s">
        <v>770</v>
      </c>
      <c r="C43" s="551">
        <f>C8</f>
        <v>45748</v>
      </c>
      <c r="D43" s="522"/>
      <c r="E43" s="522"/>
      <c r="F43" s="522"/>
      <c r="G43" s="132"/>
    </row>
    <row r="44" spans="2:9" ht="33" customHeight="1" x14ac:dyDescent="0.3">
      <c r="B44" s="338" t="s">
        <v>771</v>
      </c>
      <c r="C44" s="551" t="str">
        <f>C9</f>
        <v>31/04/2025</v>
      </c>
      <c r="D44" s="522"/>
      <c r="E44" s="522"/>
      <c r="F44" s="522"/>
      <c r="G44" s="132"/>
    </row>
    <row r="45" spans="2:9" ht="33" customHeight="1" x14ac:dyDescent="0.3">
      <c r="B45" s="338" t="s">
        <v>810</v>
      </c>
      <c r="C45" s="552">
        <f>C10</f>
        <v>0</v>
      </c>
      <c r="D45" s="132"/>
      <c r="E45" s="132"/>
      <c r="F45" s="132"/>
      <c r="G45" s="132"/>
    </row>
    <row r="46" spans="2:9" ht="33.75" customHeight="1" x14ac:dyDescent="0.3">
      <c r="B46" s="553" t="s">
        <v>773</v>
      </c>
      <c r="C46" s="553">
        <f>C42-C41+1</f>
        <v>46</v>
      </c>
      <c r="D46" s="132"/>
      <c r="E46" s="132"/>
      <c r="F46" s="132"/>
      <c r="G46" s="132"/>
    </row>
    <row r="47" spans="2:9" ht="33.75" customHeight="1" x14ac:dyDescent="0.3">
      <c r="B47" s="554" t="s">
        <v>811</v>
      </c>
      <c r="C47" s="554">
        <f ca="1">SUMPRODUCT((WEEKDAY(ROW(INDIRECT(C$41&amp;":"&amp;C$42)))=7)*1)</f>
        <v>7</v>
      </c>
      <c r="D47" s="132"/>
      <c r="E47" s="132"/>
      <c r="F47" s="132"/>
      <c r="G47" s="132"/>
    </row>
    <row r="48" spans="2:9" ht="33.75" customHeight="1" x14ac:dyDescent="0.3">
      <c r="B48" s="553" t="s">
        <v>812</v>
      </c>
      <c r="C48" s="553">
        <f>NETWORKDAYS(C41,C42)</f>
        <v>32</v>
      </c>
      <c r="D48" s="132"/>
      <c r="E48" s="132"/>
      <c r="F48" s="132"/>
      <c r="G48" s="132"/>
    </row>
    <row r="49" spans="2:7" ht="33.75" customHeight="1" x14ac:dyDescent="0.3">
      <c r="B49" s="553" t="s">
        <v>813</v>
      </c>
      <c r="C49" s="553">
        <f ca="1">C46-C47</f>
        <v>39</v>
      </c>
      <c r="D49" s="132"/>
      <c r="E49" s="132"/>
      <c r="F49" s="132"/>
      <c r="G49" s="132"/>
    </row>
    <row r="50" spans="2:7" ht="33.75" customHeight="1" x14ac:dyDescent="0.3">
      <c r="B50" s="555" t="s">
        <v>814</v>
      </c>
      <c r="C50" s="555"/>
      <c r="D50" s="5"/>
      <c r="E50" s="5"/>
      <c r="F50" s="5"/>
      <c r="G50" s="5"/>
    </row>
    <row r="51" spans="2:7" ht="35.25" customHeight="1" x14ac:dyDescent="0.3">
      <c r="B51" s="555" t="s">
        <v>815</v>
      </c>
      <c r="C51" s="555"/>
      <c r="D51" s="5"/>
      <c r="E51" s="5"/>
      <c r="F51" s="5"/>
      <c r="G51" s="5"/>
    </row>
    <row r="52" spans="2:7" ht="38.25" customHeight="1" x14ac:dyDescent="0.3">
      <c r="B52" s="556" t="s">
        <v>816</v>
      </c>
      <c r="C52" s="553">
        <v>147</v>
      </c>
      <c r="D52" s="132"/>
      <c r="E52" s="132"/>
      <c r="F52" s="132"/>
      <c r="G52" s="132"/>
    </row>
    <row r="53" spans="2:7" ht="28.5" customHeight="1" x14ac:dyDescent="0.3">
      <c r="B53" s="554" t="s">
        <v>817</v>
      </c>
      <c r="C53" s="554" t="e">
        <f>NETWORKDAYS(C43,C44)</f>
        <v>#VALUE!</v>
      </c>
      <c r="D53" s="132"/>
      <c r="E53" s="132"/>
      <c r="F53" s="132"/>
      <c r="G53" s="132"/>
    </row>
    <row r="54" spans="2:7" ht="41.25" customHeight="1" x14ac:dyDescent="0.3">
      <c r="B54" s="553" t="s">
        <v>818</v>
      </c>
      <c r="C54" s="553" t="e">
        <f>ROUND(C45*C48/C53,2)</f>
        <v>#VALUE!</v>
      </c>
      <c r="D54" s="132"/>
      <c r="E54" s="132"/>
      <c r="F54" s="132"/>
      <c r="G54" s="132"/>
    </row>
    <row r="55" spans="2:7" ht="36" customHeight="1" x14ac:dyDescent="0.3">
      <c r="B55" s="553" t="s">
        <v>819</v>
      </c>
      <c r="C55" s="553">
        <f>ROUND(C45*C48/22,2)</f>
        <v>0</v>
      </c>
      <c r="D55" s="132"/>
      <c r="E55" s="132"/>
      <c r="F55" s="132"/>
      <c r="G55" s="132"/>
    </row>
    <row r="56" spans="2:7" ht="39" customHeight="1" x14ac:dyDescent="0.3">
      <c r="B56" s="553" t="s">
        <v>820</v>
      </c>
      <c r="C56" s="553">
        <f>ROUND(C45*C48/21.67,2)</f>
        <v>0</v>
      </c>
      <c r="D56" s="132"/>
      <c r="E56" s="132"/>
      <c r="F56" s="132"/>
      <c r="G56" s="132"/>
    </row>
    <row r="57" spans="2:7" ht="35.25" customHeight="1" x14ac:dyDescent="0.3">
      <c r="B57" s="554" t="s">
        <v>821</v>
      </c>
      <c r="C57" s="554" t="e">
        <f>C44-C43+1</f>
        <v>#VALUE!</v>
      </c>
      <c r="D57" s="132"/>
      <c r="E57" s="132"/>
      <c r="F57" s="132"/>
      <c r="G57" s="132"/>
    </row>
    <row r="58" spans="2:7" ht="36" customHeight="1" x14ac:dyDescent="0.3">
      <c r="B58" s="553" t="s">
        <v>822</v>
      </c>
      <c r="C58" s="553" t="e">
        <f>ROUND(C45*C46/C57,2)</f>
        <v>#VALUE!</v>
      </c>
      <c r="D58" s="132"/>
      <c r="E58" s="132"/>
      <c r="F58" s="132"/>
      <c r="G58" s="132"/>
    </row>
    <row r="59" spans="2:7" ht="36" customHeight="1" x14ac:dyDescent="0.3">
      <c r="B59" s="553" t="s">
        <v>823</v>
      </c>
      <c r="C59" s="553">
        <f>ROUND(C45*C46/30,2)</f>
        <v>0</v>
      </c>
      <c r="D59" s="132"/>
      <c r="E59" s="132"/>
      <c r="F59" s="132"/>
      <c r="G59" s="132"/>
    </row>
    <row r="60" spans="2:7" ht="39.75" customHeight="1" x14ac:dyDescent="0.3">
      <c r="B60" s="554" t="s">
        <v>824</v>
      </c>
      <c r="C60" s="554" t="e">
        <f ca="1">SUMPRODUCT((WEEKDAY(ROW(INDIRECT($C43&amp;":"&amp;$C44)))=7)*1)</f>
        <v>#REF!</v>
      </c>
      <c r="D60" s="132"/>
      <c r="E60" s="132"/>
      <c r="F60" s="132"/>
      <c r="G60" s="132"/>
    </row>
    <row r="61" spans="2:7" ht="39.75" customHeight="1" x14ac:dyDescent="0.3">
      <c r="B61" s="554" t="s">
        <v>825</v>
      </c>
      <c r="C61" s="554" t="e">
        <f ca="1">C57-C60</f>
        <v>#VALUE!</v>
      </c>
      <c r="D61" s="132"/>
      <c r="E61" s="132"/>
      <c r="F61" s="132"/>
      <c r="G61" s="132"/>
    </row>
    <row r="62" spans="2:7" ht="51.75" customHeight="1" x14ac:dyDescent="0.3">
      <c r="B62" s="553" t="s">
        <v>826</v>
      </c>
      <c r="C62" s="553" t="e">
        <f ca="1">ROUND(C45*C49/C61,2)</f>
        <v>#VALUE!</v>
      </c>
      <c r="D62" s="132"/>
      <c r="E62" s="132"/>
      <c r="F62" s="132"/>
      <c r="G62" s="132"/>
    </row>
    <row r="63" spans="2:7" ht="51.75" customHeight="1" x14ac:dyDescent="0.3">
      <c r="B63" s="553" t="s">
        <v>827</v>
      </c>
      <c r="C63" s="553">
        <f ca="1">ROUND(C45*C49/26,2)</f>
        <v>0</v>
      </c>
      <c r="D63" s="132"/>
      <c r="E63" s="132"/>
      <c r="F63" s="132"/>
      <c r="G63" s="132"/>
    </row>
  </sheetData>
  <mergeCells count="14">
    <mergeCell ref="B1:G1"/>
    <mergeCell ref="B2:G2"/>
    <mergeCell ref="B3:C3"/>
    <mergeCell ref="D3:G3"/>
    <mergeCell ref="B4:C4"/>
    <mergeCell ref="B24:G24"/>
    <mergeCell ref="C26:D26"/>
    <mergeCell ref="H35:I36"/>
    <mergeCell ref="B40:G40"/>
    <mergeCell ref="E5:E6"/>
    <mergeCell ref="F5:G6"/>
    <mergeCell ref="D13:F13"/>
    <mergeCell ref="D21:E21"/>
    <mergeCell ref="D22:E22"/>
  </mergeCells>
  <pageMargins left="0.7" right="0.7" top="0.75" bottom="0.75" header="0.511811023622047" footer="0.511811023622047"/>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39"/>
  <sheetViews>
    <sheetView topLeftCell="A22" zoomScaleNormal="100" workbookViewId="0">
      <selection activeCell="J28" sqref="J28"/>
    </sheetView>
  </sheetViews>
  <sheetFormatPr baseColWidth="10" defaultColWidth="10.5546875"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784" t="s">
        <v>836</v>
      </c>
      <c r="B1" s="784"/>
      <c r="C1" s="784"/>
      <c r="D1" s="784"/>
      <c r="E1" s="784"/>
      <c r="F1" s="784"/>
      <c r="G1" s="784"/>
    </row>
    <row r="2" spans="1:10" ht="32.25" customHeight="1" x14ac:dyDescent="0.3">
      <c r="A2" s="792" t="s">
        <v>837</v>
      </c>
      <c r="B2" s="792"/>
      <c r="C2" s="792"/>
      <c r="D2" s="792"/>
      <c r="E2" s="792"/>
      <c r="F2" s="792"/>
      <c r="G2" s="792"/>
    </row>
    <row r="3" spans="1:10" ht="32.25" customHeight="1" x14ac:dyDescent="0.3">
      <c r="A3" s="793" t="s">
        <v>838</v>
      </c>
      <c r="B3" s="793"/>
      <c r="C3" s="793"/>
      <c r="D3" s="793"/>
      <c r="E3" s="793"/>
      <c r="F3" s="793"/>
      <c r="G3" s="793"/>
    </row>
    <row r="4" spans="1:10" ht="15.6" x14ac:dyDescent="0.3">
      <c r="A4" s="562" t="s">
        <v>839</v>
      </c>
      <c r="B4" s="563">
        <v>2025</v>
      </c>
      <c r="C4" s="564"/>
      <c r="D4" s="564"/>
      <c r="E4" s="564"/>
      <c r="F4" s="564"/>
      <c r="G4" s="564"/>
    </row>
    <row r="5" spans="1:10" ht="28.8" x14ac:dyDescent="0.3">
      <c r="A5" s="565" t="s">
        <v>840</v>
      </c>
      <c r="B5" s="566">
        <v>2025</v>
      </c>
    </row>
    <row r="6" spans="1:10" ht="32.25" customHeight="1" x14ac:dyDescent="0.3">
      <c r="A6" s="521" t="s">
        <v>841</v>
      </c>
      <c r="B6" s="567">
        <v>3864</v>
      </c>
    </row>
    <row r="7" spans="1:10" ht="32.25" customHeight="1" x14ac:dyDescent="0.3">
      <c r="A7" s="521" t="s">
        <v>842</v>
      </c>
      <c r="B7" s="567">
        <v>3925</v>
      </c>
    </row>
    <row r="8" spans="1:10" ht="26.4" x14ac:dyDescent="0.3">
      <c r="A8" s="521" t="s">
        <v>767</v>
      </c>
      <c r="B8" s="520">
        <v>45689</v>
      </c>
      <c r="C8" s="522"/>
      <c r="D8" s="522"/>
      <c r="F8" s="522"/>
      <c r="G8" s="522"/>
    </row>
    <row r="9" spans="1:10" ht="26.4" x14ac:dyDescent="0.3">
      <c r="A9" s="521" t="s">
        <v>768</v>
      </c>
      <c r="B9" s="520">
        <v>45824</v>
      </c>
      <c r="C9" s="522"/>
      <c r="D9" s="522"/>
      <c r="F9" s="522"/>
      <c r="G9" s="522"/>
      <c r="I9" s="525"/>
      <c r="J9" s="522"/>
    </row>
    <row r="10" spans="1:10" ht="26.4" x14ac:dyDescent="0.3">
      <c r="A10" s="521" t="s">
        <v>770</v>
      </c>
      <c r="B10" s="520">
        <v>45689</v>
      </c>
      <c r="C10" s="522"/>
      <c r="D10" s="522"/>
      <c r="E10" s="522"/>
      <c r="F10" s="522"/>
      <c r="G10" s="522"/>
      <c r="I10" s="525"/>
      <c r="J10" s="522"/>
    </row>
    <row r="11" spans="1:10" ht="26.4" x14ac:dyDescent="0.3">
      <c r="A11" s="521" t="s">
        <v>771</v>
      </c>
      <c r="B11" s="520">
        <v>45716</v>
      </c>
      <c r="C11" s="522"/>
      <c r="D11" s="522"/>
      <c r="E11" s="522"/>
      <c r="F11" s="522"/>
      <c r="G11" s="522"/>
    </row>
    <row r="12" spans="1:10" ht="26.4" x14ac:dyDescent="0.3">
      <c r="A12" s="521" t="s">
        <v>773</v>
      </c>
      <c r="B12" s="4">
        <f>B9-B8+1</f>
        <v>136</v>
      </c>
      <c r="C12" s="132"/>
      <c r="D12" s="132"/>
      <c r="E12" s="132"/>
      <c r="F12" s="132"/>
      <c r="G12" s="132"/>
    </row>
    <row r="13" spans="1:10" ht="26.4" x14ac:dyDescent="0.3">
      <c r="A13" s="521" t="s">
        <v>774</v>
      </c>
      <c r="B13" s="4">
        <v>0</v>
      </c>
      <c r="C13" s="132"/>
      <c r="D13" s="132"/>
      <c r="E13" s="132"/>
      <c r="F13" s="132"/>
      <c r="G13" s="132"/>
    </row>
    <row r="14" spans="1:10" ht="14.4" x14ac:dyDescent="0.3">
      <c r="A14" s="521" t="s">
        <v>775</v>
      </c>
      <c r="B14" s="4">
        <f>B12-B13</f>
        <v>136</v>
      </c>
      <c r="C14" s="132"/>
      <c r="D14" s="132"/>
      <c r="E14" s="132"/>
      <c r="F14" s="132"/>
      <c r="G14" s="132"/>
    </row>
    <row r="15" spans="1:10" ht="26.4" x14ac:dyDescent="0.3">
      <c r="A15" s="521" t="s">
        <v>778</v>
      </c>
      <c r="B15" s="4">
        <f>NETWORKDAYS(B8,B9)</f>
        <v>96</v>
      </c>
      <c r="C15" s="132"/>
      <c r="F15" s="132"/>
      <c r="G15" s="132"/>
    </row>
    <row r="16" spans="1:10" ht="26.4" x14ac:dyDescent="0.3">
      <c r="A16" s="521" t="s">
        <v>776</v>
      </c>
      <c r="B16" s="4">
        <f ca="1">SUMPRODUCT((WEEKDAY(ROW(INDIRECT(B$8&amp;":"&amp;B$9)))=7)*1)</f>
        <v>20</v>
      </c>
      <c r="C16" s="132"/>
      <c r="D16" s="132"/>
      <c r="E16" s="132"/>
      <c r="F16" s="132"/>
      <c r="G16" s="132"/>
    </row>
    <row r="17" spans="1:10" ht="26.4" x14ac:dyDescent="0.3">
      <c r="A17" s="521" t="s">
        <v>777</v>
      </c>
      <c r="B17" s="4">
        <f ca="1">+B15+B16</f>
        <v>116</v>
      </c>
      <c r="C17" s="132"/>
      <c r="D17" s="132"/>
      <c r="E17" s="132"/>
      <c r="F17" s="132"/>
      <c r="G17" s="132"/>
    </row>
    <row r="18" spans="1:10" ht="32.25" customHeight="1" x14ac:dyDescent="0.3">
      <c r="C18" s="132"/>
      <c r="D18" s="132"/>
      <c r="E18" s="132"/>
      <c r="F18" s="132"/>
      <c r="G18" s="132"/>
    </row>
    <row r="19" spans="1:10" ht="32.25" customHeight="1" x14ac:dyDescent="0.3">
      <c r="C19" s="529"/>
      <c r="D19" s="529"/>
      <c r="E19" s="529"/>
      <c r="F19" s="529"/>
      <c r="G19" s="529"/>
      <c r="H19" s="529"/>
    </row>
    <row r="20" spans="1:10" ht="32.25" customHeight="1" x14ac:dyDescent="0.3">
      <c r="C20" s="529"/>
      <c r="D20" s="529"/>
      <c r="E20" s="529"/>
      <c r="F20" s="529"/>
      <c r="G20" s="529"/>
      <c r="H20" s="529"/>
    </row>
    <row r="21" spans="1:10" ht="32.25" customHeight="1" x14ac:dyDescent="0.3">
      <c r="C21" s="529"/>
      <c r="D21" s="529"/>
      <c r="E21" s="529"/>
      <c r="F21" s="529"/>
      <c r="G21" s="529"/>
      <c r="H21" s="529"/>
    </row>
    <row r="22" spans="1:10" ht="32.25" customHeight="1" x14ac:dyDescent="0.3">
      <c r="C22" s="529"/>
      <c r="D22" s="529"/>
      <c r="E22" s="529"/>
      <c r="F22" s="529"/>
      <c r="G22" s="529"/>
      <c r="H22" s="529"/>
    </row>
    <row r="23" spans="1:10" ht="32.25" customHeight="1" x14ac:dyDescent="0.3">
      <c r="A23" s="525"/>
      <c r="C23" s="529"/>
      <c r="D23" s="529"/>
      <c r="E23" s="529"/>
      <c r="F23" s="529"/>
      <c r="G23" s="529"/>
      <c r="H23" s="529"/>
    </row>
    <row r="24" spans="1:10" ht="32.25" customHeight="1" x14ac:dyDescent="0.3">
      <c r="A24" s="794" t="s">
        <v>843</v>
      </c>
      <c r="B24" s="794"/>
      <c r="C24" s="794"/>
      <c r="D24" s="794"/>
      <c r="E24" s="794"/>
      <c r="F24" s="794"/>
      <c r="G24" s="794"/>
      <c r="H24" s="794"/>
      <c r="I24" s="794"/>
      <c r="J24" s="794"/>
    </row>
    <row r="25" spans="1:10" ht="32.25" customHeight="1" x14ac:dyDescent="0.3">
      <c r="A25" s="568" t="s">
        <v>785</v>
      </c>
      <c r="B25" s="568" t="s">
        <v>786</v>
      </c>
      <c r="C25" s="568" t="s">
        <v>787</v>
      </c>
      <c r="D25" s="568" t="s">
        <v>788</v>
      </c>
      <c r="E25" s="568" t="s">
        <v>789</v>
      </c>
      <c r="F25" s="569" t="s">
        <v>790</v>
      </c>
      <c r="G25" s="569" t="s">
        <v>844</v>
      </c>
      <c r="H25" s="570" t="s">
        <v>845</v>
      </c>
      <c r="I25" s="570" t="s">
        <v>846</v>
      </c>
      <c r="J25" s="569" t="s">
        <v>847</v>
      </c>
    </row>
    <row r="26" spans="1:10" ht="32.25" customHeight="1" x14ac:dyDescent="0.3">
      <c r="A26" s="571" t="s">
        <v>791</v>
      </c>
      <c r="B26" s="795" t="s">
        <v>848</v>
      </c>
      <c r="C26" s="795"/>
      <c r="D26" s="535" t="s">
        <v>793</v>
      </c>
      <c r="E26" s="535" t="s">
        <v>849</v>
      </c>
      <c r="F26" s="535" t="s">
        <v>850</v>
      </c>
      <c r="G26" s="535" t="s">
        <v>851</v>
      </c>
      <c r="H26" s="535" t="s">
        <v>795</v>
      </c>
      <c r="I26" s="572" t="s">
        <v>852</v>
      </c>
      <c r="J26" s="573">
        <f>B8</f>
        <v>45689</v>
      </c>
    </row>
    <row r="27" spans="1:10" ht="14.4" x14ac:dyDescent="0.3">
      <c r="A27" s="574">
        <v>2025</v>
      </c>
      <c r="B27" s="575" t="s">
        <v>833</v>
      </c>
      <c r="C27" s="576" t="s">
        <v>500</v>
      </c>
      <c r="D27" s="577">
        <v>4000</v>
      </c>
      <c r="E27" s="578">
        <f>D27*0.79</f>
        <v>3160</v>
      </c>
      <c r="F27" s="578">
        <f>+IF(A27=B4,B7,B6)</f>
        <v>3925</v>
      </c>
      <c r="G27" s="578">
        <f>F27*0.79</f>
        <v>3100.75</v>
      </c>
      <c r="H27" s="579">
        <f>MIN(E27,G27)</f>
        <v>3100.75</v>
      </c>
      <c r="I27" s="580" t="s">
        <v>768</v>
      </c>
      <c r="J27" s="581">
        <f>B9</f>
        <v>45824</v>
      </c>
    </row>
    <row r="28" spans="1:10" ht="36" x14ac:dyDescent="0.3">
      <c r="A28" s="574">
        <v>2024</v>
      </c>
      <c r="B28" s="575" t="s">
        <v>834</v>
      </c>
      <c r="C28" s="576" t="s">
        <v>853</v>
      </c>
      <c r="D28" s="577">
        <v>3500</v>
      </c>
      <c r="E28" s="578">
        <f>D28*0.79</f>
        <v>2765</v>
      </c>
      <c r="F28" s="578">
        <f>F27</f>
        <v>3925</v>
      </c>
      <c r="G28" s="578">
        <f>F28*0.79</f>
        <v>3100.75</v>
      </c>
      <c r="H28" s="579">
        <f>MIN(E28,G28)</f>
        <v>2765</v>
      </c>
      <c r="I28" s="582" t="s">
        <v>854</v>
      </c>
      <c r="J28" s="582">
        <f>J27-J26+1</f>
        <v>136</v>
      </c>
    </row>
    <row r="29" spans="1:10" ht="24" x14ac:dyDescent="0.3">
      <c r="A29" s="574">
        <v>2024</v>
      </c>
      <c r="B29" s="575" t="s">
        <v>801</v>
      </c>
      <c r="C29" s="576" t="s">
        <v>855</v>
      </c>
      <c r="D29" s="577">
        <v>3500</v>
      </c>
      <c r="E29" s="578">
        <f>D29*0.79</f>
        <v>2765</v>
      </c>
      <c r="F29" s="578">
        <f>F27</f>
        <v>3925</v>
      </c>
      <c r="G29" s="578">
        <f>F29*0.79</f>
        <v>3100.75</v>
      </c>
      <c r="H29" s="579">
        <f>MIN(E29,G29)</f>
        <v>2765</v>
      </c>
      <c r="I29" s="582" t="s">
        <v>774</v>
      </c>
      <c r="J29" s="582">
        <v>0</v>
      </c>
    </row>
    <row r="30" spans="1:10" ht="15.6" x14ac:dyDescent="0.3">
      <c r="A30" s="542"/>
      <c r="B30" s="542"/>
      <c r="C30" s="543"/>
      <c r="D30" s="543"/>
      <c r="E30" s="543"/>
      <c r="F30" s="543"/>
      <c r="G30" s="583" t="s">
        <v>530</v>
      </c>
      <c r="H30" s="584">
        <f>SUM(H27:H29)</f>
        <v>8630.75</v>
      </c>
      <c r="I30" s="585" t="s">
        <v>775</v>
      </c>
      <c r="J30" s="585">
        <f>J28-J29</f>
        <v>136</v>
      </c>
    </row>
    <row r="31" spans="1:10" ht="32.25" customHeight="1" x14ac:dyDescent="0.3">
      <c r="A31" s="542" t="s">
        <v>856</v>
      </c>
      <c r="B31" s="542"/>
      <c r="C31" s="529"/>
      <c r="D31" s="529"/>
      <c r="E31" s="529"/>
      <c r="F31" s="790" t="s">
        <v>802</v>
      </c>
      <c r="G31" s="790"/>
      <c r="H31" s="586">
        <f>ROUND(H30/91.25,2)</f>
        <v>94.58</v>
      </c>
      <c r="I31" s="587"/>
      <c r="J31" s="588"/>
    </row>
    <row r="32" spans="1:10" ht="32.25" customHeight="1" x14ac:dyDescent="0.3">
      <c r="A32" s="542"/>
      <c r="B32" s="542"/>
      <c r="C32" s="529"/>
      <c r="D32" s="529"/>
      <c r="E32" s="529"/>
      <c r="F32" s="791" t="s">
        <v>803</v>
      </c>
      <c r="G32" s="791"/>
      <c r="H32" s="589">
        <f>J30</f>
        <v>136</v>
      </c>
      <c r="I32" s="590"/>
      <c r="J32" s="588"/>
    </row>
    <row r="33" spans="1:11" ht="32.25" customHeight="1" x14ac:dyDescent="0.3">
      <c r="A33" s="542"/>
      <c r="B33" s="542"/>
      <c r="C33" s="529"/>
      <c r="D33" s="529"/>
      <c r="E33" s="529"/>
      <c r="F33" s="790" t="s">
        <v>135</v>
      </c>
      <c r="G33" s="790"/>
      <c r="H33" s="586">
        <f>ROUND(H31*H32,2)</f>
        <v>12862.88</v>
      </c>
      <c r="I33" s="588"/>
      <c r="J33" s="588"/>
    </row>
    <row r="34" spans="1:11" ht="32.25" customHeight="1" x14ac:dyDescent="0.3">
      <c r="A34" s="542"/>
      <c r="B34" s="542"/>
      <c r="C34" s="529"/>
      <c r="D34" s="529"/>
      <c r="E34" s="529"/>
      <c r="F34" s="790" t="s">
        <v>857</v>
      </c>
      <c r="G34" s="790"/>
      <c r="H34" s="584">
        <f>H33*3.8%</f>
        <v>488.78943999999996</v>
      </c>
      <c r="I34" s="588"/>
      <c r="J34" s="587"/>
      <c r="K34" s="591"/>
    </row>
    <row r="35" spans="1:11" ht="32.25" customHeight="1" x14ac:dyDescent="0.3">
      <c r="A35" s="542"/>
      <c r="B35" s="542"/>
      <c r="C35" s="529"/>
      <c r="D35" s="529"/>
      <c r="E35" s="529"/>
      <c r="F35" s="790" t="s">
        <v>858</v>
      </c>
      <c r="G35" s="790"/>
      <c r="H35" s="584">
        <f>H33*2.9%</f>
        <v>373.02351999999996</v>
      </c>
      <c r="I35" s="588"/>
      <c r="J35" s="588"/>
    </row>
    <row r="36" spans="1:11" ht="32.25" customHeight="1" x14ac:dyDescent="0.3">
      <c r="F36" s="790" t="s">
        <v>859</v>
      </c>
      <c r="G36" s="790"/>
      <c r="H36" s="586">
        <f>H33-H34-H35</f>
        <v>12001.067039999998</v>
      </c>
      <c r="I36" s="9"/>
      <c r="J36" s="9"/>
    </row>
    <row r="37" spans="1:11" ht="32.25" customHeight="1" x14ac:dyDescent="0.3">
      <c r="D37" t="s">
        <v>860</v>
      </c>
      <c r="F37" s="790" t="s">
        <v>861</v>
      </c>
      <c r="G37" s="790"/>
      <c r="H37" s="584">
        <f>H33-H34</f>
        <v>12374.090559999999</v>
      </c>
    </row>
    <row r="38" spans="1:11" ht="15.6" x14ac:dyDescent="0.3">
      <c r="G38" s="587"/>
      <c r="H38" s="587"/>
    </row>
    <row r="39" spans="1:11" ht="32.25" customHeight="1" x14ac:dyDescent="0.3">
      <c r="G39" s="591"/>
      <c r="H39" s="591"/>
    </row>
  </sheetData>
  <mergeCells count="12">
    <mergeCell ref="A1:G1"/>
    <mergeCell ref="A2:G2"/>
    <mergeCell ref="A3:G3"/>
    <mergeCell ref="A24:J24"/>
    <mergeCell ref="B26:C26"/>
    <mergeCell ref="F36:G36"/>
    <mergeCell ref="F37:G37"/>
    <mergeCell ref="F31:G31"/>
    <mergeCell ref="F32:G32"/>
    <mergeCell ref="F33:G33"/>
    <mergeCell ref="F34:G34"/>
    <mergeCell ref="F35:G35"/>
  </mergeCells>
  <conditionalFormatting sqref="A2:G2 C4:G4 A3">
    <cfRule type="dataBar" priority="2">
      <dataBar>
        <cfvo type="min"/>
        <cfvo type="max"/>
        <color rgb="FF008AEF"/>
      </dataBar>
      <extLst>
        <ext xmlns:x14="http://schemas.microsoft.com/office/spreadsheetml/2009/9/main" uri="{B025F937-C7B1-47D3-B67F-A62EFF666E3E}">
          <x14:id>{E2409B73-3093-4E59-AC40-B022967CDF54}</x14:id>
        </ext>
      </extLst>
    </cfRule>
  </conditionalFormatting>
  <pageMargins left="0.70833333333333304" right="0.70833333333333304" top="0.74791666666666701" bottom="0.74791666666666701" header="0.511811023622047" footer="0.511811023622047"/>
  <pageSetup paperSize="9" scale="80" orientation="landscape" horizontalDpi="300" verticalDpi="300"/>
  <drawing r:id="rId1"/>
  <legacyDrawing r:id="rId2"/>
  <extLst>
    <ext xmlns:x14="http://schemas.microsoft.com/office/spreadsheetml/2009/9/main" uri="{78C0D931-6437-407d-A8EE-F0AAD7539E65}">
      <x14:conditionalFormattings>
        <x14:conditionalFormatting xmlns:xm="http://schemas.microsoft.com/office/excel/2006/main">
          <x14:cfRule type="dataBar" id="{E2409B73-3093-4E59-AC40-B022967CDF54}">
            <x14:dataBar>
              <x14:cfvo type="autoMin"/>
              <x14:cfvo type="autoMax"/>
              <x14:negativeFillColor rgb="FFFF0000"/>
              <x14:axisColor rgb="FF000000"/>
            </x14:dataBar>
          </x14:cfRule>
          <xm:sqref>A2:G2 C4:G4 A3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G31"/>
  <sheetViews>
    <sheetView topLeftCell="B14" zoomScale="110" zoomScaleNormal="110" workbookViewId="0">
      <selection activeCell="G19" sqref="G19"/>
    </sheetView>
  </sheetViews>
  <sheetFormatPr baseColWidth="10" defaultColWidth="11.44140625" defaultRowHeight="15" customHeight="1" x14ac:dyDescent="0.3"/>
  <cols>
    <col min="1" max="16384" width="11.44140625" style="9"/>
  </cols>
  <sheetData>
    <row r="3" spans="2:4" x14ac:dyDescent="0.3">
      <c r="B3" s="9" t="s">
        <v>168</v>
      </c>
    </row>
    <row r="5" spans="2:4" x14ac:dyDescent="0.3">
      <c r="C5" s="9" t="s">
        <v>169</v>
      </c>
    </row>
    <row r="6" spans="2:4" x14ac:dyDescent="0.3">
      <c r="C6" s="9" t="s">
        <v>170</v>
      </c>
    </row>
    <row r="8" spans="2:4" x14ac:dyDescent="0.3">
      <c r="B8" s="9" t="s">
        <v>171</v>
      </c>
    </row>
    <row r="9" spans="2:4" x14ac:dyDescent="0.3">
      <c r="B9" s="9" t="s">
        <v>172</v>
      </c>
    </row>
    <row r="11" spans="2:4" x14ac:dyDescent="0.3">
      <c r="C11" s="9" t="s">
        <v>173</v>
      </c>
    </row>
    <row r="13" spans="2:4" x14ac:dyDescent="0.3">
      <c r="D13" s="9" t="s">
        <v>174</v>
      </c>
    </row>
    <row r="14" spans="2:4" x14ac:dyDescent="0.3">
      <c r="D14" s="9" t="s">
        <v>5</v>
      </c>
    </row>
    <row r="15" spans="2:4" x14ac:dyDescent="0.3">
      <c r="D15" s="9" t="s">
        <v>175</v>
      </c>
    </row>
    <row r="16" spans="2:4" x14ac:dyDescent="0.3">
      <c r="D16" s="9" t="s">
        <v>176</v>
      </c>
    </row>
    <row r="17" spans="4:7" x14ac:dyDescent="0.3">
      <c r="D17" s="9" t="s">
        <v>177</v>
      </c>
      <c r="G17" s="9" t="s">
        <v>178</v>
      </c>
    </row>
    <row r="18" spans="4:7" x14ac:dyDescent="0.3">
      <c r="D18" s="9" t="s">
        <v>16</v>
      </c>
    </row>
    <row r="19" spans="4:7" x14ac:dyDescent="0.3">
      <c r="D19" s="9" t="s">
        <v>179</v>
      </c>
      <c r="G19" s="6" t="s">
        <v>180</v>
      </c>
    </row>
    <row r="20" spans="4:7" x14ac:dyDescent="0.3">
      <c r="G20" s="9" t="s">
        <v>181</v>
      </c>
    </row>
    <row r="21" spans="4:7" x14ac:dyDescent="0.3">
      <c r="D21" s="9" t="s">
        <v>182</v>
      </c>
      <c r="G21" s="9" t="s">
        <v>183</v>
      </c>
    </row>
    <row r="22" spans="4:7" x14ac:dyDescent="0.3">
      <c r="G22" s="9" t="s">
        <v>184</v>
      </c>
    </row>
    <row r="23" spans="4:7" x14ac:dyDescent="0.3">
      <c r="D23" s="9" t="s">
        <v>185</v>
      </c>
      <c r="G23" s="9" t="s">
        <v>186</v>
      </c>
    </row>
    <row r="24" spans="4:7" x14ac:dyDescent="0.3">
      <c r="D24" s="9" t="s">
        <v>187</v>
      </c>
      <c r="G24" s="9" t="s">
        <v>188</v>
      </c>
    </row>
    <row r="25" spans="4:7" x14ac:dyDescent="0.3">
      <c r="D25" s="9" t="s">
        <v>189</v>
      </c>
      <c r="G25" s="8" t="s">
        <v>190</v>
      </c>
    </row>
    <row r="26" spans="4:7" x14ac:dyDescent="0.3">
      <c r="D26" s="9" t="s">
        <v>191</v>
      </c>
      <c r="G26" s="9" t="s">
        <v>192</v>
      </c>
    </row>
    <row r="27" spans="4:7" x14ac:dyDescent="0.3">
      <c r="D27" s="9" t="s">
        <v>193</v>
      </c>
      <c r="G27" s="9" t="s">
        <v>194</v>
      </c>
    </row>
    <row r="28" spans="4:7" x14ac:dyDescent="0.3">
      <c r="D28" s="9" t="s">
        <v>195</v>
      </c>
      <c r="G28" s="9" t="s">
        <v>196</v>
      </c>
    </row>
    <row r="29" spans="4:7" x14ac:dyDescent="0.3">
      <c r="D29" s="9" t="s">
        <v>197</v>
      </c>
      <c r="G29" s="9" t="s">
        <v>198</v>
      </c>
    </row>
    <row r="30" spans="4:7" x14ac:dyDescent="0.3">
      <c r="D30" s="9" t="s">
        <v>199</v>
      </c>
    </row>
    <row r="31" spans="4:7" x14ac:dyDescent="0.3">
      <c r="D31" s="9" t="s">
        <v>200</v>
      </c>
    </row>
  </sheetData>
  <printOptions horizontalCentered="1" verticalCentered="1"/>
  <pageMargins left="0.31527777777777799" right="0.118055555555556" top="0.15763888888888899" bottom="0.35416666666666702" header="0.511811023622047" footer="0.511811023622047"/>
  <pageSetup paperSize="9" scale="80" orientation="landscape" horizontalDpi="300" verticalDpi="300"/>
  <drawing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37"/>
  <sheetViews>
    <sheetView zoomScaleNormal="100" workbookViewId="0">
      <selection activeCell="C3" sqref="C3"/>
    </sheetView>
  </sheetViews>
  <sheetFormatPr baseColWidth="10" defaultColWidth="11.44140625" defaultRowHeight="13.5" customHeight="1" x14ac:dyDescent="0.25"/>
  <cols>
    <col min="1" max="1" width="9.44140625" style="6" customWidth="1"/>
    <col min="2" max="2" width="54.33203125" style="6" customWidth="1"/>
    <col min="3" max="3" width="21.88671875" style="385" customWidth="1"/>
    <col min="4" max="4" width="16.33203125" style="6" customWidth="1"/>
    <col min="5" max="5" width="18.33203125" style="6" customWidth="1"/>
    <col min="6" max="6" width="15.5546875" style="6" customWidth="1"/>
    <col min="7" max="7" width="11.44140625" style="6"/>
    <col min="8" max="8" width="15.6640625" style="6" customWidth="1"/>
    <col min="9" max="10" width="23.33203125" style="6" customWidth="1"/>
    <col min="11" max="16384" width="11.44140625" style="6"/>
  </cols>
  <sheetData>
    <row r="1" spans="1:11" ht="21.75" customHeight="1" x14ac:dyDescent="0.25">
      <c r="B1" s="688" t="s">
        <v>862</v>
      </c>
      <c r="C1" s="688"/>
    </row>
    <row r="2" spans="1:11" ht="21.75" customHeight="1" x14ac:dyDescent="0.25">
      <c r="B2" s="264" t="s">
        <v>587</v>
      </c>
      <c r="C2" s="592"/>
      <c r="E2" s="156"/>
      <c r="F2" s="156"/>
      <c r="G2" s="156"/>
      <c r="J2" s="156"/>
      <c r="K2" s="156"/>
    </row>
    <row r="3" spans="1:11" ht="21.75" customHeight="1" x14ac:dyDescent="0.25">
      <c r="B3" s="264" t="s">
        <v>863</v>
      </c>
      <c r="C3" s="592"/>
      <c r="E3" s="156"/>
      <c r="F3" s="156"/>
      <c r="G3" s="156"/>
      <c r="J3" s="156"/>
      <c r="K3" s="156"/>
    </row>
    <row r="4" spans="1:11" ht="21.75" customHeight="1" x14ac:dyDescent="0.25">
      <c r="A4" s="718" t="s">
        <v>534</v>
      </c>
      <c r="B4" s="718" t="s">
        <v>864</v>
      </c>
      <c r="C4" s="800"/>
    </row>
    <row r="5" spans="1:11" ht="21.75" customHeight="1" x14ac:dyDescent="0.25">
      <c r="A5" s="718"/>
      <c r="B5" s="718"/>
      <c r="C5" s="800"/>
    </row>
    <row r="6" spans="1:11" ht="21.75" customHeight="1" x14ac:dyDescent="0.25">
      <c r="A6" s="801" t="s">
        <v>485</v>
      </c>
      <c r="B6" s="802" t="s">
        <v>865</v>
      </c>
      <c r="C6" s="800"/>
    </row>
    <row r="7" spans="1:11" ht="78" customHeight="1" x14ac:dyDescent="0.25">
      <c r="A7" s="801"/>
      <c r="B7" s="802"/>
      <c r="C7" s="800"/>
    </row>
    <row r="8" spans="1:11" ht="21.75" customHeight="1" x14ac:dyDescent="0.25">
      <c r="A8" s="361" t="s">
        <v>237</v>
      </c>
      <c r="B8" s="593" t="s">
        <v>866</v>
      </c>
      <c r="C8" s="592"/>
    </row>
    <row r="9" spans="1:11" ht="13.5" customHeight="1" x14ac:dyDescent="0.25">
      <c r="A9" s="797" t="s">
        <v>486</v>
      </c>
      <c r="B9" s="718" t="s">
        <v>867</v>
      </c>
      <c r="C9" s="799">
        <f>IF(C6=0,0,IF(C6=1,C8/12,IF(C6=2,C8/6,IF(C6=3,C8/3,IF(C6=4,C8/2)))))</f>
        <v>0</v>
      </c>
    </row>
    <row r="10" spans="1:11" ht="13.8" x14ac:dyDescent="0.25">
      <c r="A10" s="797"/>
      <c r="B10" s="718"/>
      <c r="C10" s="799"/>
    </row>
    <row r="11" spans="1:11" ht="13.5" customHeight="1" x14ac:dyDescent="0.25">
      <c r="A11" s="797" t="s">
        <v>487</v>
      </c>
      <c r="B11" s="718" t="s">
        <v>868</v>
      </c>
      <c r="C11" s="799">
        <f>C4+C9</f>
        <v>0</v>
      </c>
    </row>
    <row r="12" spans="1:11" ht="13.8" x14ac:dyDescent="0.25">
      <c r="A12" s="797"/>
      <c r="B12" s="718"/>
      <c r="C12" s="799"/>
    </row>
    <row r="13" spans="1:11" ht="13.5" customHeight="1" x14ac:dyDescent="0.25">
      <c r="A13" s="797" t="s">
        <v>486</v>
      </c>
      <c r="B13" s="798" t="s">
        <v>869</v>
      </c>
      <c r="C13" s="799">
        <f>C11/30.42</f>
        <v>0</v>
      </c>
      <c r="D13" s="730"/>
    </row>
    <row r="14" spans="1:11" ht="13.8" x14ac:dyDescent="0.25">
      <c r="A14" s="797"/>
      <c r="B14" s="798"/>
      <c r="C14" s="799"/>
      <c r="D14" s="730"/>
    </row>
    <row r="15" spans="1:11" ht="13.8" x14ac:dyDescent="0.25">
      <c r="B15" s="594" t="s">
        <v>870</v>
      </c>
      <c r="C15" s="595"/>
      <c r="F15" s="730"/>
      <c r="G15" s="730"/>
      <c r="H15" s="796"/>
    </row>
    <row r="16" spans="1:11" ht="13.8" x14ac:dyDescent="0.25">
      <c r="B16" s="361" t="s">
        <v>871</v>
      </c>
      <c r="C16" s="597">
        <f>60%*C13</f>
        <v>0</v>
      </c>
      <c r="F16" s="730"/>
      <c r="G16" s="730"/>
      <c r="H16" s="796"/>
    </row>
    <row r="17" spans="2:8" ht="13.8" x14ac:dyDescent="0.25">
      <c r="B17" s="361" t="s">
        <v>872</v>
      </c>
      <c r="C17" s="597">
        <f>C13*0.79</f>
        <v>0</v>
      </c>
      <c r="F17" s="730"/>
      <c r="G17" s="730"/>
      <c r="H17" s="796"/>
    </row>
    <row r="18" spans="2:8" ht="13.8" x14ac:dyDescent="0.25">
      <c r="B18" s="361" t="s">
        <v>873</v>
      </c>
      <c r="C18" s="597">
        <f>MIN(C16,C17)</f>
        <v>0</v>
      </c>
      <c r="F18" s="730"/>
      <c r="G18" s="730"/>
      <c r="H18" s="796"/>
    </row>
    <row r="19" spans="2:8" ht="13.8" x14ac:dyDescent="0.25">
      <c r="B19" s="361" t="s">
        <v>874</v>
      </c>
      <c r="C19" s="597">
        <f>0.834%*C2*12*60 %</f>
        <v>0</v>
      </c>
      <c r="F19" s="156"/>
      <c r="G19" s="156"/>
      <c r="H19" s="596"/>
    </row>
    <row r="20" spans="2:8" ht="13.8" x14ac:dyDescent="0.25">
      <c r="B20" s="361" t="s">
        <v>875</v>
      </c>
      <c r="C20" s="598">
        <f>MIN(C18,C19)</f>
        <v>0</v>
      </c>
      <c r="F20" s="156"/>
      <c r="G20" s="156"/>
      <c r="H20" s="596"/>
    </row>
    <row r="21" spans="2:8" ht="13.8" x14ac:dyDescent="0.25">
      <c r="B21" s="594" t="s">
        <v>876</v>
      </c>
      <c r="C21" s="597"/>
      <c r="F21" s="156"/>
      <c r="G21" s="156"/>
      <c r="H21" s="596"/>
    </row>
    <row r="22" spans="2:8" ht="13.8" x14ac:dyDescent="0.25">
      <c r="B22" s="361" t="s">
        <v>872</v>
      </c>
      <c r="C22" s="597">
        <f>C17</f>
        <v>0</v>
      </c>
      <c r="F22" s="156"/>
      <c r="G22" s="156"/>
      <c r="H22" s="596"/>
    </row>
    <row r="23" spans="2:8" ht="13.8" x14ac:dyDescent="0.25">
      <c r="B23" s="361" t="s">
        <v>877</v>
      </c>
      <c r="C23" s="597">
        <f>80%*C13</f>
        <v>0</v>
      </c>
      <c r="F23" s="156"/>
      <c r="G23" s="156"/>
      <c r="H23" s="596"/>
    </row>
    <row r="24" spans="2:8" ht="13.8" x14ac:dyDescent="0.25">
      <c r="B24" s="361" t="s">
        <v>878</v>
      </c>
      <c r="C24" s="597">
        <f>MIN(C22,C23)</f>
        <v>0</v>
      </c>
      <c r="F24" s="156"/>
      <c r="G24" s="156"/>
      <c r="H24" s="596"/>
    </row>
    <row r="25" spans="2:8" ht="13.8" x14ac:dyDescent="0.25">
      <c r="B25" s="361" t="s">
        <v>879</v>
      </c>
      <c r="C25" s="597">
        <f>0.834%*C2*12*80 %</f>
        <v>0</v>
      </c>
      <c r="F25" s="156"/>
      <c r="G25" s="156"/>
      <c r="H25" s="596"/>
    </row>
    <row r="26" spans="2:8" ht="13.8" x14ac:dyDescent="0.25">
      <c r="B26" s="361" t="s">
        <v>880</v>
      </c>
      <c r="C26" s="598">
        <f>MIN(C24,C25)</f>
        <v>0</v>
      </c>
      <c r="F26" s="156"/>
      <c r="G26" s="156"/>
      <c r="H26" s="596"/>
    </row>
    <row r="27" spans="2:8" ht="13.8" x14ac:dyDescent="0.25">
      <c r="B27" s="361" t="s">
        <v>881</v>
      </c>
      <c r="C27" s="598">
        <f>IF(C3&lt;=28,C20,C26)</f>
        <v>0</v>
      </c>
      <c r="F27" s="156"/>
      <c r="G27" s="156"/>
      <c r="H27" s="596"/>
    </row>
    <row r="28" spans="2:8" ht="13.8" x14ac:dyDescent="0.25">
      <c r="B28" s="599" t="s">
        <v>882</v>
      </c>
      <c r="C28" s="600">
        <f>C27*3.8%</f>
        <v>0</v>
      </c>
    </row>
    <row r="29" spans="2:8" ht="13.8" x14ac:dyDescent="0.25">
      <c r="B29" s="599" t="s">
        <v>883</v>
      </c>
      <c r="C29" s="600">
        <f>C27*2.9%</f>
        <v>0</v>
      </c>
    </row>
    <row r="30" spans="2:8" ht="13.8" x14ac:dyDescent="0.25">
      <c r="B30" s="601" t="s">
        <v>859</v>
      </c>
      <c r="C30" s="602">
        <f>C27-C28-C29</f>
        <v>0</v>
      </c>
    </row>
    <row r="31" spans="2:8" ht="13.8" x14ac:dyDescent="0.25">
      <c r="B31" s="599" t="s">
        <v>884</v>
      </c>
      <c r="C31" s="600">
        <f>50% * C27</f>
        <v>0</v>
      </c>
    </row>
    <row r="32" spans="2:8" ht="13.8" x14ac:dyDescent="0.25">
      <c r="B32" s="599" t="s">
        <v>885</v>
      </c>
      <c r="C32" s="600">
        <f>C31*3.8%</f>
        <v>0</v>
      </c>
    </row>
    <row r="33" spans="2:3" ht="27.6" x14ac:dyDescent="0.25">
      <c r="B33" s="277" t="s">
        <v>886</v>
      </c>
      <c r="C33" s="602">
        <f>+C31-C32</f>
        <v>0</v>
      </c>
    </row>
    <row r="34" spans="2:3" ht="13.8" x14ac:dyDescent="0.25">
      <c r="B34" s="264" t="s">
        <v>775</v>
      </c>
      <c r="C34" s="603">
        <f>C3</f>
        <v>0</v>
      </c>
    </row>
    <row r="35" spans="2:3" ht="13.8" x14ac:dyDescent="0.25">
      <c r="B35" s="264" t="s">
        <v>887</v>
      </c>
      <c r="C35" s="603">
        <f>C27*C3</f>
        <v>0</v>
      </c>
    </row>
    <row r="36" spans="2:3" ht="13.8" x14ac:dyDescent="0.25">
      <c r="B36" s="264" t="s">
        <v>888</v>
      </c>
      <c r="C36" s="603">
        <f>C30*C3</f>
        <v>0</v>
      </c>
    </row>
    <row r="37" spans="2:3" ht="13.8" x14ac:dyDescent="0.25">
      <c r="B37" s="264" t="s">
        <v>889</v>
      </c>
      <c r="C37" s="603">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G15:G18"/>
    <mergeCell ref="H15:H18"/>
    <mergeCell ref="A13:A14"/>
    <mergeCell ref="B13:B14"/>
    <mergeCell ref="C13:C14"/>
    <mergeCell ref="D13:D14"/>
    <mergeCell ref="F15:F18"/>
  </mergeCells>
  <conditionalFormatting sqref="A2:G3 C4:G4">
    <cfRule type="dataBar" priority="2">
      <dataBar>
        <cfvo type="min"/>
        <cfvo type="max"/>
        <color rgb="FF008AEF"/>
      </dataBar>
      <extLst>
        <ext xmlns:x14="http://schemas.microsoft.com/office/spreadsheetml/2009/9/main" uri="{B025F937-C7B1-47D3-B67F-A62EFF666E3E}">
          <x14:id>{50F14739-8B30-4755-BF7D-BFB76022ABBC}</x14:id>
        </ext>
      </extLst>
    </cfRule>
  </conditionalFormatting>
  <pageMargins left="0.7" right="0.7" top="0.75" bottom="0.75" header="0.511811023622047" footer="0.511811023622047"/>
  <pageSetup paperSize="9" orientation="portrait" horizontalDpi="300" verticalDpi="300"/>
  <legacyDrawing r:id="rId1"/>
  <extLst>
    <ext xmlns:x14="http://schemas.microsoft.com/office/spreadsheetml/2009/9/main" uri="{78C0D931-6437-407d-A8EE-F0AAD7539E65}">
      <x14:conditionalFormattings>
        <x14:conditionalFormatting xmlns:xm="http://schemas.microsoft.com/office/excel/2006/main">
          <x14:cfRule type="dataBar" id="{50F14739-8B30-4755-BF7D-BFB76022ABBC}">
            <x14:dataBar>
              <x14:cfvo type="autoMin"/>
              <x14:cfvo type="autoMax"/>
              <x14:negativeFill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22"/>
  <sheetViews>
    <sheetView topLeftCell="A38" zoomScale="130" zoomScaleNormal="130" workbookViewId="0">
      <selection activeCell="E33" sqref="E33"/>
    </sheetView>
  </sheetViews>
  <sheetFormatPr baseColWidth="10" defaultColWidth="11.44140625" defaultRowHeight="15" customHeight="1" x14ac:dyDescent="0.3"/>
  <cols>
    <col min="1" max="1" width="4.88671875" style="23" customWidth="1"/>
    <col min="2" max="2" width="2.44140625" style="23" customWidth="1"/>
    <col min="3" max="3" width="31.5546875" style="23" customWidth="1"/>
    <col min="4" max="4" width="29.5546875" style="23" customWidth="1"/>
    <col min="5" max="5" width="30.5546875" style="23" customWidth="1"/>
    <col min="6" max="6" width="5.109375" style="23" customWidth="1"/>
    <col min="7" max="7" width="33.33203125" style="24" customWidth="1"/>
    <col min="8" max="8" width="18.44140625" style="24" customWidth="1"/>
    <col min="9" max="10" width="11.44140625" style="23" hidden="1"/>
    <col min="11" max="11" width="19.109375" style="23" hidden="1" customWidth="1"/>
    <col min="12" max="16384" width="11.44140625" style="23"/>
  </cols>
  <sheetData>
    <row r="1" spans="3:13" ht="12.75" customHeight="1" x14ac:dyDescent="0.3"/>
    <row r="2" spans="3:13" ht="15.6" x14ac:dyDescent="0.3">
      <c r="C2" s="25" t="s">
        <v>201</v>
      </c>
    </row>
    <row r="3" spans="3:13" ht="12.75" customHeight="1" x14ac:dyDescent="0.3"/>
    <row r="4" spans="3:13" ht="21.75" customHeight="1" x14ac:dyDescent="0.3">
      <c r="C4" s="26" t="s">
        <v>202</v>
      </c>
      <c r="D4" s="27"/>
      <c r="E4" s="27"/>
      <c r="F4" s="27"/>
      <c r="G4" s="622" t="s">
        <v>203</v>
      </c>
      <c r="H4" s="622"/>
    </row>
    <row r="5" spans="3:13" ht="21.75" customHeight="1" x14ac:dyDescent="0.3">
      <c r="C5" s="28" t="s">
        <v>204</v>
      </c>
      <c r="G5" s="623" t="s">
        <v>205</v>
      </c>
      <c r="H5" s="623"/>
    </row>
    <row r="6" spans="3:13" ht="21.75" customHeight="1" x14ac:dyDescent="0.3">
      <c r="C6" s="28" t="s">
        <v>206</v>
      </c>
      <c r="G6" s="624">
        <v>4980785750020</v>
      </c>
      <c r="H6" s="624"/>
    </row>
    <row r="7" spans="3:13" ht="21.75" customHeight="1" x14ac:dyDescent="0.3">
      <c r="C7" s="28" t="s">
        <v>207</v>
      </c>
      <c r="G7" s="622" t="s">
        <v>208</v>
      </c>
      <c r="H7" s="622"/>
    </row>
    <row r="8" spans="3:13" ht="51.75" customHeight="1" x14ac:dyDescent="0.3">
      <c r="C8" s="625" t="s">
        <v>209</v>
      </c>
      <c r="D8" s="625"/>
      <c r="E8" s="625"/>
      <c r="G8" s="626" t="s">
        <v>210</v>
      </c>
      <c r="H8" s="626"/>
    </row>
    <row r="9" spans="3:13" ht="15.6" x14ac:dyDescent="0.3">
      <c r="C9" s="29" t="s">
        <v>211</v>
      </c>
      <c r="D9" s="30"/>
      <c r="E9" s="30"/>
      <c r="F9" s="30"/>
      <c r="G9" s="619">
        <v>30</v>
      </c>
      <c r="H9" s="619"/>
    </row>
    <row r="10" spans="3:13" ht="15.6" x14ac:dyDescent="0.3">
      <c r="C10" s="620"/>
      <c r="D10" s="620"/>
      <c r="E10" s="620"/>
      <c r="F10" s="620"/>
      <c r="G10" s="620"/>
      <c r="H10" s="620"/>
    </row>
    <row r="11" spans="3:13" ht="28.5" customHeight="1" x14ac:dyDescent="0.3">
      <c r="C11" s="31"/>
      <c r="D11" s="32"/>
      <c r="E11" s="621" t="s">
        <v>212</v>
      </c>
      <c r="F11" s="621"/>
      <c r="G11" s="33" t="s">
        <v>213</v>
      </c>
      <c r="H11" s="33" t="s">
        <v>214</v>
      </c>
    </row>
    <row r="12" spans="3:13" ht="20.25" customHeight="1" x14ac:dyDescent="0.3">
      <c r="C12" s="616" t="s">
        <v>215</v>
      </c>
      <c r="D12" s="616"/>
      <c r="E12" s="617"/>
      <c r="F12" s="617"/>
      <c r="G12" s="35"/>
      <c r="H12" s="35"/>
      <c r="I12" s="36"/>
      <c r="J12" s="36"/>
      <c r="K12" s="36"/>
      <c r="L12" s="36"/>
      <c r="M12" s="36"/>
    </row>
    <row r="13" spans="3:13" ht="20.25" customHeight="1" x14ac:dyDescent="0.3">
      <c r="C13" s="616" t="s">
        <v>216</v>
      </c>
      <c r="D13" s="616"/>
      <c r="E13" s="618"/>
      <c r="F13" s="618"/>
      <c r="G13" s="35"/>
      <c r="H13" s="35"/>
      <c r="I13" s="36"/>
      <c r="J13" s="36"/>
      <c r="K13" s="36"/>
      <c r="L13" s="36"/>
      <c r="M13" s="36"/>
    </row>
    <row r="14" spans="3:13" ht="20.25" hidden="1" customHeight="1" x14ac:dyDescent="0.3">
      <c r="C14" s="616"/>
      <c r="D14" s="616"/>
      <c r="E14" s="616"/>
      <c r="F14" s="616"/>
      <c r="G14" s="35"/>
      <c r="H14" s="35"/>
      <c r="I14" s="36"/>
      <c r="J14" s="36"/>
      <c r="K14" s="36"/>
      <c r="L14" s="36"/>
      <c r="M14" s="36"/>
    </row>
    <row r="15" spans="3:13" ht="20.25" customHeight="1" x14ac:dyDescent="0.3">
      <c r="C15" s="616" t="s">
        <v>217</v>
      </c>
      <c r="D15" s="616"/>
      <c r="E15" s="616" t="s">
        <v>218</v>
      </c>
      <c r="F15" s="616"/>
      <c r="G15" s="37">
        <v>0.01</v>
      </c>
      <c r="H15" s="37">
        <v>0.02</v>
      </c>
      <c r="I15" s="36"/>
      <c r="J15" s="36"/>
      <c r="K15" s="36"/>
      <c r="L15" s="36"/>
      <c r="M15" s="36"/>
    </row>
    <row r="16" spans="3:13" ht="20.25" customHeight="1" x14ac:dyDescent="0.3">
      <c r="C16" s="616"/>
      <c r="D16" s="616"/>
      <c r="E16" s="616"/>
      <c r="F16" s="616"/>
      <c r="G16" s="3"/>
      <c r="H16" s="3"/>
      <c r="I16" s="36"/>
      <c r="J16" s="36"/>
      <c r="K16" s="36"/>
      <c r="L16" s="36"/>
      <c r="M16" s="36"/>
    </row>
    <row r="17" spans="3:13" ht="20.25" customHeight="1" x14ac:dyDescent="0.3">
      <c r="C17" s="616" t="s">
        <v>219</v>
      </c>
      <c r="D17" s="616"/>
      <c r="E17" s="616" t="s">
        <v>218</v>
      </c>
      <c r="F17" s="616"/>
      <c r="G17" s="37">
        <v>0.01</v>
      </c>
      <c r="H17" s="37">
        <v>0.02</v>
      </c>
      <c r="I17" s="36"/>
      <c r="J17" s="36"/>
      <c r="K17" s="36"/>
      <c r="L17" s="36"/>
      <c r="M17" s="36"/>
    </row>
    <row r="18" spans="3:13" ht="20.25" customHeight="1" x14ac:dyDescent="0.3">
      <c r="C18" s="616"/>
      <c r="D18" s="616"/>
      <c r="E18" s="616"/>
      <c r="F18" s="616"/>
      <c r="G18" s="3"/>
      <c r="H18" s="3"/>
      <c r="I18" s="36"/>
      <c r="J18" s="36"/>
      <c r="K18" s="36"/>
      <c r="L18" s="36"/>
      <c r="M18" s="36"/>
    </row>
    <row r="19" spans="3:13" ht="20.25" hidden="1" customHeight="1" x14ac:dyDescent="0.3">
      <c r="C19" s="616" t="s">
        <v>220</v>
      </c>
      <c r="D19" s="616"/>
      <c r="E19" s="616"/>
      <c r="F19" s="616"/>
      <c r="G19" s="38"/>
      <c r="H19" s="38"/>
      <c r="I19" s="36"/>
      <c r="J19" s="36"/>
      <c r="K19" s="36"/>
      <c r="L19" s="36"/>
      <c r="M19" s="36"/>
    </row>
    <row r="20" spans="3:13" ht="20.25" hidden="1" customHeight="1" x14ac:dyDescent="0.3">
      <c r="C20" s="616" t="s">
        <v>221</v>
      </c>
      <c r="D20" s="616"/>
      <c r="E20" s="616" t="s">
        <v>222</v>
      </c>
      <c r="F20" s="616"/>
      <c r="G20" s="38"/>
      <c r="H20" s="38">
        <v>1.4999999999999999E-2</v>
      </c>
      <c r="I20" s="36"/>
      <c r="J20" s="36"/>
      <c r="K20" s="36"/>
      <c r="L20" s="36"/>
      <c r="M20" s="36"/>
    </row>
    <row r="21" spans="3:13" ht="20.25" customHeight="1" x14ac:dyDescent="0.3">
      <c r="C21" s="616"/>
      <c r="D21" s="616"/>
      <c r="E21" s="616"/>
      <c r="F21" s="616"/>
      <c r="G21" s="38"/>
      <c r="H21" s="38"/>
      <c r="I21" s="36"/>
      <c r="J21" s="36"/>
      <c r="K21" s="36"/>
      <c r="L21" s="36" t="s">
        <v>223</v>
      </c>
      <c r="M21" s="36"/>
    </row>
    <row r="22" spans="3:13" ht="20.25" customHeight="1" x14ac:dyDescent="0.3">
      <c r="C22" s="616"/>
      <c r="D22" s="616"/>
      <c r="E22" s="617"/>
      <c r="F22" s="617"/>
      <c r="G22" s="38"/>
      <c r="H22" s="38"/>
      <c r="I22" s="36"/>
      <c r="J22" s="36"/>
      <c r="K22" s="36"/>
      <c r="L22" s="36"/>
      <c r="M22" s="36"/>
    </row>
    <row r="23" spans="3:13" ht="16.5" customHeight="1" x14ac:dyDescent="0.3">
      <c r="C23" s="616" t="s">
        <v>224</v>
      </c>
      <c r="D23" s="616"/>
      <c r="E23" s="616" t="s">
        <v>218</v>
      </c>
      <c r="F23" s="616"/>
      <c r="G23" s="38"/>
      <c r="H23" s="35">
        <v>1.4999999999999999E-2</v>
      </c>
      <c r="I23" s="36"/>
      <c r="J23" s="36"/>
      <c r="K23" s="36"/>
      <c r="L23" s="36"/>
      <c r="M23" s="36"/>
    </row>
    <row r="24" spans="3:13" ht="15" customHeight="1" x14ac:dyDescent="0.3">
      <c r="C24" s="616" t="s">
        <v>225</v>
      </c>
      <c r="D24" s="616"/>
      <c r="E24" s="616" t="s">
        <v>218</v>
      </c>
      <c r="F24" s="616"/>
      <c r="G24" s="38"/>
      <c r="H24" s="35">
        <v>6.0000000000000001E-3</v>
      </c>
      <c r="I24" s="36"/>
      <c r="J24" s="36"/>
      <c r="K24" s="36"/>
      <c r="L24" s="36"/>
      <c r="M24" s="36"/>
    </row>
    <row r="25" spans="3:13" ht="15.6" x14ac:dyDescent="0.3">
      <c r="G25" s="39"/>
      <c r="H25" s="39"/>
      <c r="I25" s="36"/>
      <c r="J25" s="36"/>
      <c r="K25" s="36"/>
      <c r="L25" s="36"/>
      <c r="M25" s="36"/>
    </row>
    <row r="26" spans="3:13" ht="15.6" x14ac:dyDescent="0.3">
      <c r="G26" s="39"/>
      <c r="H26" s="39"/>
      <c r="I26" s="36"/>
      <c r="J26" s="36"/>
      <c r="K26" s="36"/>
      <c r="L26" s="40"/>
      <c r="M26" s="36"/>
    </row>
    <row r="27" spans="3:13" ht="15.6" x14ac:dyDescent="0.3">
      <c r="G27" s="39"/>
      <c r="H27" s="39"/>
      <c r="I27" s="36"/>
      <c r="J27" s="36"/>
      <c r="K27" s="36"/>
      <c r="L27" s="40"/>
      <c r="M27" s="36"/>
    </row>
    <row r="28" spans="3:13" ht="15.6" x14ac:dyDescent="0.3">
      <c r="C28" s="26" t="s">
        <v>226</v>
      </c>
      <c r="D28" s="41"/>
      <c r="E28" s="42" t="s">
        <v>227</v>
      </c>
    </row>
    <row r="29" spans="3:13" ht="15.6" x14ac:dyDescent="0.3">
      <c r="C29" s="28" t="s">
        <v>228</v>
      </c>
      <c r="D29" s="43"/>
      <c r="E29" s="44" t="s">
        <v>229</v>
      </c>
    </row>
    <row r="30" spans="3:13" ht="15.6" x14ac:dyDescent="0.3">
      <c r="C30" s="28" t="s">
        <v>204</v>
      </c>
      <c r="D30" s="43"/>
      <c r="E30" s="45" t="s">
        <v>230</v>
      </c>
    </row>
    <row r="31" spans="3:13" ht="15.6" x14ac:dyDescent="0.3">
      <c r="C31" s="28" t="s">
        <v>231</v>
      </c>
      <c r="D31" s="43"/>
      <c r="E31" s="44" t="s">
        <v>232</v>
      </c>
    </row>
    <row r="32" spans="3:13" ht="15.6" x14ac:dyDescent="0.3">
      <c r="C32" s="28" t="s">
        <v>233</v>
      </c>
      <c r="D32" s="43"/>
      <c r="E32" s="44"/>
    </row>
    <row r="33" spans="3:6" ht="15.6" x14ac:dyDescent="0.3">
      <c r="C33" s="28" t="s">
        <v>234</v>
      </c>
      <c r="D33" s="43"/>
      <c r="E33" s="46" t="s">
        <v>235</v>
      </c>
    </row>
    <row r="34" spans="3:6" ht="15.6" x14ac:dyDescent="0.3">
      <c r="C34" s="28" t="s">
        <v>236</v>
      </c>
      <c r="D34" s="43"/>
      <c r="E34" s="44" t="s">
        <v>237</v>
      </c>
    </row>
    <row r="35" spans="3:6" ht="15" hidden="1" customHeight="1" x14ac:dyDescent="0.3">
      <c r="C35" s="28" t="s">
        <v>238</v>
      </c>
      <c r="D35" s="43"/>
      <c r="E35" s="44">
        <v>2</v>
      </c>
    </row>
    <row r="36" spans="3:6" ht="15.6" x14ac:dyDescent="0.3">
      <c r="C36" s="29" t="s">
        <v>239</v>
      </c>
      <c r="D36" s="47"/>
      <c r="E36" s="34"/>
    </row>
    <row r="37" spans="3:6" ht="24" customHeight="1" x14ac:dyDescent="0.3"/>
    <row r="38" spans="3:6" ht="24" customHeight="1" x14ac:dyDescent="0.3">
      <c r="E38" s="36"/>
    </row>
    <row r="39" spans="3:6" ht="24" customHeight="1" x14ac:dyDescent="0.3">
      <c r="C39" s="614" t="s">
        <v>240</v>
      </c>
      <c r="D39" s="614"/>
      <c r="E39" s="42" t="s">
        <v>227</v>
      </c>
      <c r="F39" s="36"/>
    </row>
    <row r="40" spans="3:6" ht="24" customHeight="1" x14ac:dyDescent="0.3">
      <c r="C40" s="26" t="s">
        <v>241</v>
      </c>
      <c r="D40" s="41"/>
      <c r="E40" s="48">
        <v>45931</v>
      </c>
      <c r="F40" s="49"/>
    </row>
    <row r="41" spans="3:6" ht="24" customHeight="1" x14ac:dyDescent="0.3">
      <c r="C41" s="28" t="s">
        <v>242</v>
      </c>
      <c r="D41" s="43"/>
      <c r="E41" s="48">
        <v>45961</v>
      </c>
      <c r="F41" s="49"/>
    </row>
    <row r="42" spans="3:6" ht="24" customHeight="1" x14ac:dyDescent="0.3">
      <c r="C42" s="28" t="s">
        <v>243</v>
      </c>
      <c r="D42" s="43"/>
      <c r="E42" s="48">
        <v>45961</v>
      </c>
      <c r="F42" s="49"/>
    </row>
    <row r="43" spans="3:6" ht="24" customHeight="1" x14ac:dyDescent="0.3">
      <c r="C43" s="28" t="s">
        <v>244</v>
      </c>
      <c r="D43" s="43"/>
      <c r="E43" s="50">
        <v>3200</v>
      </c>
      <c r="F43" s="51"/>
    </row>
    <row r="44" spans="3:6" ht="24" customHeight="1" x14ac:dyDescent="0.3">
      <c r="C44" s="28" t="s">
        <v>245</v>
      </c>
      <c r="D44" s="43"/>
      <c r="E44" s="52">
        <v>151.66999999999999</v>
      </c>
      <c r="F44" s="51"/>
    </row>
    <row r="45" spans="3:6" ht="19.5" customHeight="1" x14ac:dyDescent="0.3">
      <c r="C45" s="28" t="s">
        <v>246</v>
      </c>
      <c r="D45" s="43"/>
      <c r="E45" s="52">
        <v>11.88</v>
      </c>
      <c r="F45" s="51"/>
    </row>
    <row r="46" spans="3:6" ht="19.5" customHeight="1" x14ac:dyDescent="0.3">
      <c r="C46" s="28" t="s">
        <v>247</v>
      </c>
      <c r="D46" s="43"/>
      <c r="E46" s="52">
        <v>3925</v>
      </c>
      <c r="F46" s="51"/>
    </row>
    <row r="47" spans="3:6" ht="19.5" customHeight="1" x14ac:dyDescent="0.3">
      <c r="C47" s="28" t="s">
        <v>248</v>
      </c>
      <c r="D47" s="43"/>
      <c r="E47" s="52"/>
      <c r="F47" s="51"/>
    </row>
    <row r="48" spans="3:6" ht="19.5" customHeight="1" x14ac:dyDescent="0.3">
      <c r="C48" s="28" t="s">
        <v>11</v>
      </c>
      <c r="D48" s="43"/>
      <c r="E48" s="52">
        <v>151.66999999999999</v>
      </c>
      <c r="F48" s="53"/>
    </row>
    <row r="49" spans="2:6" ht="19.5" customHeight="1" x14ac:dyDescent="0.3">
      <c r="C49" s="28" t="s">
        <v>249</v>
      </c>
      <c r="D49" s="43"/>
      <c r="E49" s="52"/>
      <c r="F49" s="53"/>
    </row>
    <row r="50" spans="2:6" ht="19.5" customHeight="1" x14ac:dyDescent="0.3">
      <c r="C50" s="28" t="s">
        <v>250</v>
      </c>
      <c r="D50" s="43"/>
      <c r="E50" s="52"/>
      <c r="F50" s="54"/>
    </row>
    <row r="51" spans="2:6" ht="19.5" customHeight="1" x14ac:dyDescent="0.3">
      <c r="C51" s="28" t="s">
        <v>251</v>
      </c>
      <c r="D51" s="43"/>
      <c r="E51" s="52"/>
      <c r="F51" s="54"/>
    </row>
    <row r="52" spans="2:6" ht="19.5" hidden="1" customHeight="1" x14ac:dyDescent="0.3">
      <c r="C52" s="28" t="s">
        <v>13</v>
      </c>
      <c r="D52" s="43"/>
      <c r="E52" s="52"/>
      <c r="F52" s="54"/>
    </row>
    <row r="53" spans="2:6" ht="24" hidden="1" customHeight="1" x14ac:dyDescent="0.3">
      <c r="C53" s="29" t="s">
        <v>252</v>
      </c>
      <c r="D53" s="47"/>
      <c r="E53" s="52" t="s">
        <v>253</v>
      </c>
      <c r="F53" s="54"/>
    </row>
    <row r="54" spans="2:6" ht="24" hidden="1" customHeight="1" x14ac:dyDescent="0.3">
      <c r="B54" s="25" t="s">
        <v>254</v>
      </c>
      <c r="E54" s="55">
        <v>211</v>
      </c>
    </row>
    <row r="55" spans="2:6" ht="24" hidden="1" customHeight="1" x14ac:dyDescent="0.3"/>
    <row r="56" spans="2:6" ht="24" hidden="1" customHeight="1" x14ac:dyDescent="0.3">
      <c r="C56" s="23" t="s">
        <v>255</v>
      </c>
    </row>
    <row r="57" spans="2:6" ht="24" hidden="1" customHeight="1" x14ac:dyDescent="0.3"/>
    <row r="58" spans="2:6" ht="24" hidden="1" customHeight="1" x14ac:dyDescent="0.3">
      <c r="D58" s="23" t="s">
        <v>256</v>
      </c>
    </row>
    <row r="59" spans="2:6" ht="24" hidden="1" customHeight="1" x14ac:dyDescent="0.3"/>
    <row r="60" spans="2:6" ht="24" hidden="1" customHeight="1" x14ac:dyDescent="0.3">
      <c r="D60" s="23" t="s">
        <v>257</v>
      </c>
    </row>
    <row r="61" spans="2:6" ht="24" hidden="1" customHeight="1" x14ac:dyDescent="0.3"/>
    <row r="62" spans="2:6" ht="24" hidden="1" customHeight="1" x14ac:dyDescent="0.3">
      <c r="C62" s="23" t="s">
        <v>258</v>
      </c>
    </row>
    <row r="63" spans="2:6" ht="24" hidden="1" customHeight="1" x14ac:dyDescent="0.3"/>
    <row r="64" spans="2:6" ht="24" hidden="1" customHeight="1" x14ac:dyDescent="0.3">
      <c r="D64" s="23" t="s">
        <v>259</v>
      </c>
    </row>
    <row r="65" spans="1:11" ht="24" hidden="1" customHeight="1" x14ac:dyDescent="0.3">
      <c r="D65" s="23" t="s">
        <v>260</v>
      </c>
    </row>
    <row r="66" spans="1:11" ht="24" hidden="1" customHeight="1" x14ac:dyDescent="0.3">
      <c r="D66" s="23" t="s">
        <v>261</v>
      </c>
    </row>
    <row r="67" spans="1:11" ht="24" hidden="1" customHeight="1" x14ac:dyDescent="0.3">
      <c r="D67" s="23" t="s">
        <v>262</v>
      </c>
    </row>
    <row r="68" spans="1:11" ht="24" hidden="1" customHeight="1" x14ac:dyDescent="0.3">
      <c r="D68" s="23" t="s">
        <v>263</v>
      </c>
    </row>
    <row r="69" spans="1:11" ht="24" hidden="1" customHeight="1" x14ac:dyDescent="0.3"/>
    <row r="70" spans="1:11" ht="24" hidden="1" customHeight="1" x14ac:dyDescent="0.3">
      <c r="C70" s="23" t="s">
        <v>264</v>
      </c>
    </row>
    <row r="71" spans="1:11" ht="24" hidden="1" customHeight="1" x14ac:dyDescent="0.3">
      <c r="C71" s="23" t="s">
        <v>265</v>
      </c>
    </row>
    <row r="72" spans="1:11" ht="24" hidden="1" customHeight="1" x14ac:dyDescent="0.3"/>
    <row r="73" spans="1:11" ht="24" hidden="1" customHeight="1" x14ac:dyDescent="0.3">
      <c r="D73" s="23" t="s">
        <v>266</v>
      </c>
    </row>
    <row r="74" spans="1:11" ht="24" hidden="1" customHeight="1" x14ac:dyDescent="0.3"/>
    <row r="75" spans="1:11" ht="24" hidden="1" customHeight="1" x14ac:dyDescent="0.3">
      <c r="C75" s="23" t="s">
        <v>267</v>
      </c>
    </row>
    <row r="76" spans="1:11" ht="24" hidden="1" customHeight="1" x14ac:dyDescent="0.3"/>
    <row r="77" spans="1:11" ht="24" hidden="1" customHeight="1" x14ac:dyDescent="0.3">
      <c r="E77" s="1" t="s">
        <v>212</v>
      </c>
      <c r="F77" s="1" t="s">
        <v>268</v>
      </c>
      <c r="G77" s="1" t="s">
        <v>269</v>
      </c>
      <c r="H77" s="1" t="s">
        <v>270</v>
      </c>
      <c r="I77" s="1" t="s">
        <v>271</v>
      </c>
    </row>
    <row r="78" spans="1:11" ht="24" hidden="1" customHeight="1" x14ac:dyDescent="0.3">
      <c r="B78" s="1" t="s">
        <v>272</v>
      </c>
      <c r="C78" s="613" t="s">
        <v>273</v>
      </c>
      <c r="D78" s="613"/>
      <c r="E78" s="56"/>
      <c r="F78" s="57">
        <v>6.8000000000000005E-2</v>
      </c>
      <c r="G78" s="56"/>
      <c r="H78" s="56"/>
      <c r="I78" s="56"/>
      <c r="J78" s="58"/>
      <c r="K78" s="58"/>
    </row>
    <row r="79" spans="1:11" ht="24" hidden="1" customHeight="1" x14ac:dyDescent="0.3">
      <c r="A79" s="59"/>
      <c r="B79" s="1" t="s">
        <v>274</v>
      </c>
      <c r="C79" s="613" t="s">
        <v>275</v>
      </c>
      <c r="D79" s="613"/>
      <c r="E79" s="56"/>
      <c r="F79" s="57">
        <v>6.8000000000000005E-2</v>
      </c>
      <c r="G79" s="56"/>
      <c r="H79" s="56"/>
      <c r="I79" s="56"/>
      <c r="J79" s="58"/>
      <c r="K79" s="58"/>
    </row>
    <row r="80" spans="1:11" ht="24" hidden="1" customHeight="1" x14ac:dyDescent="0.3">
      <c r="B80" s="1" t="s">
        <v>276</v>
      </c>
      <c r="C80" s="613" t="s">
        <v>277</v>
      </c>
      <c r="D80" s="613"/>
      <c r="E80" s="56"/>
      <c r="F80" s="57">
        <v>2.9000000000000001E-2</v>
      </c>
      <c r="G80" s="56"/>
      <c r="H80" s="56"/>
      <c r="I80" s="56"/>
      <c r="J80" s="58"/>
      <c r="K80" s="58"/>
    </row>
    <row r="81" spans="1:11" ht="24" hidden="1" customHeight="1" x14ac:dyDescent="0.3">
      <c r="A81" s="615"/>
      <c r="B81" s="615"/>
      <c r="E81" s="56"/>
      <c r="F81" s="56"/>
      <c r="G81" s="56"/>
      <c r="H81" s="56"/>
      <c r="I81" s="60"/>
      <c r="J81" s="58"/>
      <c r="K81" s="58"/>
    </row>
    <row r="82" spans="1:11" ht="24" hidden="1" customHeight="1" x14ac:dyDescent="0.3">
      <c r="B82" s="1" t="s">
        <v>263</v>
      </c>
      <c r="C82" s="613" t="s">
        <v>278</v>
      </c>
      <c r="D82" s="613"/>
      <c r="E82" s="56"/>
      <c r="F82" s="61"/>
      <c r="G82" s="62"/>
      <c r="H82" s="63"/>
      <c r="I82" s="60"/>
      <c r="J82" s="58"/>
      <c r="K82" s="58"/>
    </row>
    <row r="83" spans="1:11" ht="24" hidden="1" customHeight="1" x14ac:dyDescent="0.3">
      <c r="B83" s="64"/>
      <c r="C83" s="65"/>
      <c r="D83" s="65"/>
      <c r="E83" s="66"/>
      <c r="F83" s="67"/>
      <c r="G83" s="68"/>
      <c r="H83" s="69"/>
      <c r="I83" s="70"/>
      <c r="J83" s="58"/>
      <c r="K83" s="58"/>
    </row>
    <row r="84" spans="1:11" ht="24" hidden="1" customHeight="1" x14ac:dyDescent="0.3">
      <c r="C84" s="23" t="s">
        <v>279</v>
      </c>
    </row>
    <row r="85" spans="1:11" ht="24" hidden="1" customHeight="1" x14ac:dyDescent="0.3"/>
    <row r="86" spans="1:11" ht="24" hidden="1" customHeight="1" x14ac:dyDescent="0.3">
      <c r="D86" s="23" t="s">
        <v>280</v>
      </c>
    </row>
    <row r="87" spans="1:11" ht="24" hidden="1" customHeight="1" x14ac:dyDescent="0.3"/>
    <row r="88" spans="1:11" ht="24" hidden="1" customHeight="1" x14ac:dyDescent="0.3">
      <c r="B88" s="23" t="s">
        <v>281</v>
      </c>
    </row>
    <row r="89" spans="1:11" ht="24" hidden="1" customHeight="1" x14ac:dyDescent="0.3"/>
    <row r="90" spans="1:11" ht="24" hidden="1" customHeight="1" x14ac:dyDescent="0.3">
      <c r="C90" s="23" t="s">
        <v>282</v>
      </c>
    </row>
    <row r="91" spans="1:11" ht="24" hidden="1" customHeight="1" x14ac:dyDescent="0.3"/>
    <row r="92" spans="1:11" ht="24" hidden="1" customHeight="1" x14ac:dyDescent="0.3">
      <c r="D92" s="23" t="s">
        <v>283</v>
      </c>
    </row>
    <row r="93" spans="1:11" ht="24" hidden="1" customHeight="1" x14ac:dyDescent="0.3">
      <c r="D93" s="23" t="s">
        <v>256</v>
      </c>
    </row>
    <row r="94" spans="1:11" ht="24" hidden="1" customHeight="1" x14ac:dyDescent="0.3">
      <c r="D94" s="23" t="s">
        <v>284</v>
      </c>
    </row>
    <row r="95" spans="1:11" ht="24" hidden="1" customHeight="1" x14ac:dyDescent="0.3">
      <c r="D95" s="23" t="s">
        <v>285</v>
      </c>
    </row>
    <row r="96" spans="1:11" ht="24" hidden="1" customHeight="1" x14ac:dyDescent="0.3">
      <c r="D96" s="23" t="s">
        <v>286</v>
      </c>
    </row>
    <row r="97" spans="2:5" ht="24" hidden="1" customHeight="1" x14ac:dyDescent="0.3"/>
    <row r="98" spans="2:5" ht="24" hidden="1" customHeight="1" x14ac:dyDescent="0.3">
      <c r="C98" s="23" t="s">
        <v>287</v>
      </c>
    </row>
    <row r="99" spans="2:5" ht="24" hidden="1" customHeight="1" x14ac:dyDescent="0.3"/>
    <row r="100" spans="2:5" ht="24" hidden="1" customHeight="1" x14ac:dyDescent="0.3">
      <c r="B100" s="25" t="s">
        <v>288</v>
      </c>
      <c r="C100" s="25"/>
    </row>
    <row r="101" spans="2:5" ht="24" hidden="1" customHeight="1" x14ac:dyDescent="0.3"/>
    <row r="102" spans="2:5" ht="24" hidden="1" customHeight="1" x14ac:dyDescent="0.3">
      <c r="C102" s="71" t="s">
        <v>289</v>
      </c>
    </row>
    <row r="103" spans="2:5" ht="24" hidden="1" customHeight="1" x14ac:dyDescent="0.3"/>
    <row r="104" spans="2:5" ht="24" hidden="1" customHeight="1" x14ac:dyDescent="0.3">
      <c r="C104" s="23" t="s">
        <v>290</v>
      </c>
    </row>
    <row r="105" spans="2:5" ht="24" hidden="1" customHeight="1" x14ac:dyDescent="0.3">
      <c r="C105" s="23" t="s">
        <v>291</v>
      </c>
    </row>
    <row r="106" spans="2:5" ht="24" hidden="1" customHeight="1" x14ac:dyDescent="0.3">
      <c r="C106" s="23" t="s">
        <v>292</v>
      </c>
    </row>
    <row r="107" spans="2:5" ht="24" hidden="1" customHeight="1" x14ac:dyDescent="0.3">
      <c r="C107" s="23" t="s">
        <v>293</v>
      </c>
    </row>
    <row r="108" spans="2:5" ht="24" hidden="1" customHeight="1" x14ac:dyDescent="0.3">
      <c r="C108" s="23" t="s">
        <v>294</v>
      </c>
    </row>
    <row r="109" spans="2:5" ht="24" hidden="1" customHeight="1" x14ac:dyDescent="0.3"/>
    <row r="110" spans="2:5" ht="24" hidden="1" customHeight="1" x14ac:dyDescent="0.3"/>
    <row r="111" spans="2:5" ht="24" hidden="1" customHeight="1" x14ac:dyDescent="0.3">
      <c r="B111" s="25" t="s">
        <v>295</v>
      </c>
    </row>
    <row r="112" spans="2:5" ht="24" hidden="1" customHeight="1" x14ac:dyDescent="0.3">
      <c r="E112" s="72"/>
    </row>
    <row r="113" spans="3:6" ht="24" hidden="1" customHeight="1" x14ac:dyDescent="0.3">
      <c r="C113" s="23" t="s">
        <v>296</v>
      </c>
    </row>
    <row r="114" spans="3:6" ht="24" hidden="1" customHeight="1" x14ac:dyDescent="0.3">
      <c r="D114" s="23" t="s">
        <v>297</v>
      </c>
      <c r="E114" s="72">
        <v>2332</v>
      </c>
    </row>
    <row r="115" spans="3:6" ht="24" hidden="1" customHeight="1" x14ac:dyDescent="0.3">
      <c r="D115" s="23" t="s">
        <v>298</v>
      </c>
      <c r="E115" s="72">
        <v>3062</v>
      </c>
    </row>
    <row r="116" spans="3:6" ht="24" hidden="1" customHeight="1" x14ac:dyDescent="0.3"/>
    <row r="117" spans="3:6" ht="24" hidden="1" customHeight="1" x14ac:dyDescent="0.3">
      <c r="C117" s="23" t="s">
        <v>299</v>
      </c>
      <c r="D117" s="23">
        <v>8.3000000000000007</v>
      </c>
    </row>
    <row r="118" spans="3:6" ht="24" hidden="1" customHeight="1" x14ac:dyDescent="0.3">
      <c r="D118" s="23" t="s">
        <v>300</v>
      </c>
    </row>
    <row r="119" spans="3:6" ht="24" hidden="1" customHeight="1" x14ac:dyDescent="0.3">
      <c r="D119" s="23" t="s">
        <v>301</v>
      </c>
      <c r="E119" s="72">
        <v>0</v>
      </c>
      <c r="F119" s="23">
        <v>0</v>
      </c>
    </row>
    <row r="120" spans="3:6" ht="24" hidden="1" customHeight="1" x14ac:dyDescent="0.3">
      <c r="D120" s="23" t="s">
        <v>302</v>
      </c>
      <c r="E120" s="72" t="e">
        <f>#REF!</f>
        <v>#REF!</v>
      </c>
      <c r="F120" s="23" t="e">
        <f>#REF!</f>
        <v>#REF!</v>
      </c>
    </row>
    <row r="121" spans="3:6" ht="24" hidden="1" customHeight="1" x14ac:dyDescent="0.3"/>
    <row r="122" spans="3:6" ht="15.75" hidden="1" customHeight="1" x14ac:dyDescent="0.3">
      <c r="E122" s="23" t="s">
        <v>303</v>
      </c>
    </row>
  </sheetData>
  <mergeCells count="41">
    <mergeCell ref="G4:H4"/>
    <mergeCell ref="G5:H5"/>
    <mergeCell ref="G6:H6"/>
    <mergeCell ref="G7:H7"/>
    <mergeCell ref="C8:E8"/>
    <mergeCell ref="G8:H8"/>
    <mergeCell ref="G9:H9"/>
    <mergeCell ref="C10:H10"/>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A81:B81"/>
    <mergeCell ref="C22:D22"/>
    <mergeCell ref="E22:F22"/>
    <mergeCell ref="C23:D23"/>
    <mergeCell ref="E23:F23"/>
    <mergeCell ref="C24:D24"/>
    <mergeCell ref="E24:F24"/>
    <mergeCell ref="C82:D82"/>
    <mergeCell ref="C39:D39"/>
    <mergeCell ref="C78:D78"/>
    <mergeCell ref="C79:D79"/>
    <mergeCell ref="C80:D80"/>
  </mergeCells>
  <pageMargins left="0.70833333333333304" right="0.70833333333333304" top="0.74791666666666701" bottom="0.74791666666666701" header="0.511811023622047" footer="0.511811023622047"/>
  <pageSetup paperSize="9" scale="80" orientation="landscape" horizontalDpi="300" verticalDpi="300"/>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L121"/>
  <sheetViews>
    <sheetView topLeftCell="A85" zoomScaleNormal="100" workbookViewId="0">
      <selection activeCell="A98" sqref="A98"/>
    </sheetView>
  </sheetViews>
  <sheetFormatPr baseColWidth="10" defaultColWidth="10.5546875" defaultRowHeight="14.25" customHeight="1" x14ac:dyDescent="0.3"/>
  <cols>
    <col min="5" max="5" width="17.5546875" customWidth="1"/>
  </cols>
  <sheetData>
    <row r="2" spans="1:1" ht="15.6" x14ac:dyDescent="0.3">
      <c r="A2" s="9" t="s">
        <v>304</v>
      </c>
    </row>
    <row r="4" spans="1:1" ht="15.6" x14ac:dyDescent="0.3">
      <c r="A4" s="9" t="s">
        <v>305</v>
      </c>
    </row>
    <row r="5" spans="1:1" ht="15.6" x14ac:dyDescent="0.3">
      <c r="A5" s="9" t="s">
        <v>306</v>
      </c>
    </row>
    <row r="6" spans="1:1" ht="15.6" x14ac:dyDescent="0.3">
      <c r="A6" s="9" t="s">
        <v>307</v>
      </c>
    </row>
    <row r="7" spans="1:1" ht="15.6" x14ac:dyDescent="0.3">
      <c r="A7" s="9" t="s">
        <v>308</v>
      </c>
    </row>
    <row r="9" spans="1:1" ht="15.6" x14ac:dyDescent="0.3">
      <c r="A9" s="9" t="s">
        <v>309</v>
      </c>
    </row>
    <row r="10" spans="1:1" ht="15.6" x14ac:dyDescent="0.3">
      <c r="A10" s="9" t="s">
        <v>310</v>
      </c>
    </row>
    <row r="11" spans="1:1" ht="15.6" x14ac:dyDescent="0.3">
      <c r="A11" s="9" t="s">
        <v>311</v>
      </c>
    </row>
    <row r="13" spans="1:1" ht="15.6" x14ac:dyDescent="0.3">
      <c r="A13" s="73" t="s">
        <v>312</v>
      </c>
    </row>
    <row r="14" spans="1:1" ht="15.6" x14ac:dyDescent="0.3">
      <c r="A14" s="73"/>
    </row>
    <row r="15" spans="1:1" ht="15.6" x14ac:dyDescent="0.3">
      <c r="A15" s="74" t="s">
        <v>313</v>
      </c>
    </row>
    <row r="16" spans="1:1" ht="15.6" x14ac:dyDescent="0.3">
      <c r="A16" s="74" t="s">
        <v>314</v>
      </c>
    </row>
    <row r="17" spans="1:8" ht="15.6" x14ac:dyDescent="0.3">
      <c r="A17" s="74"/>
    </row>
    <row r="18" spans="1:8" ht="15.6" x14ac:dyDescent="0.3">
      <c r="A18" s="74" t="s">
        <v>315</v>
      </c>
    </row>
    <row r="19" spans="1:8" ht="15.6" x14ac:dyDescent="0.3">
      <c r="A19" s="74"/>
    </row>
    <row r="21" spans="1:8" ht="15.6" x14ac:dyDescent="0.3">
      <c r="A21" s="9" t="s">
        <v>316</v>
      </c>
    </row>
    <row r="23" spans="1:8" ht="15.6" x14ac:dyDescent="0.3">
      <c r="B23" s="9" t="s">
        <v>317</v>
      </c>
      <c r="G23" s="9">
        <v>98</v>
      </c>
      <c r="H23" s="9" t="s">
        <v>318</v>
      </c>
    </row>
    <row r="25" spans="1:8" ht="15.6" x14ac:dyDescent="0.3">
      <c r="A25" s="9" t="s">
        <v>319</v>
      </c>
    </row>
    <row r="26" spans="1:8" ht="15.6" x14ac:dyDescent="0.3">
      <c r="A26" s="9"/>
    </row>
    <row r="27" spans="1:8" ht="15.6" x14ac:dyDescent="0.3">
      <c r="A27" s="9"/>
    </row>
    <row r="28" spans="1:8" ht="15.6" x14ac:dyDescent="0.3">
      <c r="A28" s="9"/>
    </row>
    <row r="29" spans="1:8" ht="15.6" x14ac:dyDescent="0.3">
      <c r="A29" s="9"/>
    </row>
    <row r="30" spans="1:8" ht="15.6" x14ac:dyDescent="0.3">
      <c r="A30" s="9"/>
    </row>
    <row r="31" spans="1:8" ht="15.6" x14ac:dyDescent="0.3">
      <c r="A31" s="9"/>
    </row>
    <row r="32" spans="1:8" ht="15.6" x14ac:dyDescent="0.3">
      <c r="A32" s="9"/>
    </row>
    <row r="33" spans="1:1" ht="15.6" x14ac:dyDescent="0.3">
      <c r="A33" s="9"/>
    </row>
    <row r="34" spans="1:1" ht="15.6" x14ac:dyDescent="0.3">
      <c r="A34" s="9"/>
    </row>
    <row r="35" spans="1:1" ht="15.6" x14ac:dyDescent="0.3">
      <c r="A35" s="9"/>
    </row>
    <row r="36" spans="1:1" ht="15.6" x14ac:dyDescent="0.3">
      <c r="A36" s="9"/>
    </row>
    <row r="37" spans="1:1" ht="15.6" x14ac:dyDescent="0.3">
      <c r="A37" s="9"/>
    </row>
    <row r="38" spans="1:1" ht="15.6" x14ac:dyDescent="0.3">
      <c r="A38" s="9"/>
    </row>
    <row r="39" spans="1:1" ht="15.6" x14ac:dyDescent="0.3">
      <c r="A39" s="9"/>
    </row>
    <row r="40" spans="1:1" ht="15.6" x14ac:dyDescent="0.3">
      <c r="A40" s="9"/>
    </row>
    <row r="41" spans="1:1" ht="15.6" x14ac:dyDescent="0.3">
      <c r="A41" s="9"/>
    </row>
    <row r="42" spans="1:1" ht="15.6" x14ac:dyDescent="0.3">
      <c r="A42" s="9"/>
    </row>
    <row r="43" spans="1:1" ht="15.6" x14ac:dyDescent="0.3">
      <c r="A43" s="9"/>
    </row>
    <row r="44" spans="1:1" ht="15.6" x14ac:dyDescent="0.3">
      <c r="A44" s="9"/>
    </row>
    <row r="45" spans="1:1" ht="15.6" x14ac:dyDescent="0.3">
      <c r="A45" s="9"/>
    </row>
    <row r="46" spans="1:1" ht="15.6" x14ac:dyDescent="0.3">
      <c r="A46" s="9"/>
    </row>
    <row r="47" spans="1:1" ht="15.6" x14ac:dyDescent="0.3">
      <c r="A47" s="9"/>
    </row>
    <row r="48" spans="1:1" ht="15.6" x14ac:dyDescent="0.3">
      <c r="A48" s="9"/>
    </row>
    <row r="49" spans="1:1" ht="15.6" x14ac:dyDescent="0.3">
      <c r="A49" s="9"/>
    </row>
    <row r="50" spans="1:1" ht="15.6" x14ac:dyDescent="0.3">
      <c r="A50" s="9"/>
    </row>
    <row r="51" spans="1:1" ht="15.6" x14ac:dyDescent="0.3">
      <c r="A51" s="9"/>
    </row>
    <row r="52" spans="1:1" ht="15.6" x14ac:dyDescent="0.3">
      <c r="A52" s="9"/>
    </row>
    <row r="53" spans="1:1" ht="15.6" x14ac:dyDescent="0.3">
      <c r="A53" s="9"/>
    </row>
    <row r="54" spans="1:1" ht="15.6" x14ac:dyDescent="0.3">
      <c r="A54" s="9"/>
    </row>
    <row r="55" spans="1:1" ht="15.6" x14ac:dyDescent="0.3">
      <c r="A55" s="9"/>
    </row>
    <row r="56" spans="1:1" ht="15.6" x14ac:dyDescent="0.3">
      <c r="A56" s="9"/>
    </row>
    <row r="57" spans="1:1" ht="15.6" x14ac:dyDescent="0.3">
      <c r="A57" s="9"/>
    </row>
    <row r="58" spans="1:1" ht="15.6" x14ac:dyDescent="0.3">
      <c r="A58" s="9"/>
    </row>
    <row r="59" spans="1:1" ht="15.6" x14ac:dyDescent="0.3">
      <c r="A59" s="9"/>
    </row>
    <row r="60" spans="1:1" ht="15.6" x14ac:dyDescent="0.3">
      <c r="A60" s="9"/>
    </row>
    <row r="61" spans="1:1" ht="15.6" x14ac:dyDescent="0.3">
      <c r="A61" s="9"/>
    </row>
    <row r="62" spans="1:1" ht="15.6" x14ac:dyDescent="0.3">
      <c r="A62" s="9"/>
    </row>
    <row r="63" spans="1:1" ht="15.6" x14ac:dyDescent="0.3">
      <c r="A63" s="9"/>
    </row>
    <row r="65" spans="1:8" ht="15.6" x14ac:dyDescent="0.3">
      <c r="A65" s="9" t="s">
        <v>320</v>
      </c>
    </row>
    <row r="67" spans="1:8" ht="15.6" x14ac:dyDescent="0.3">
      <c r="B67" s="9" t="s">
        <v>321</v>
      </c>
      <c r="F67" s="75">
        <v>300</v>
      </c>
      <c r="G67" s="9" t="s">
        <v>318</v>
      </c>
    </row>
    <row r="68" spans="1:8" ht="15.6" x14ac:dyDescent="0.3">
      <c r="B68" s="9" t="s">
        <v>322</v>
      </c>
      <c r="F68" s="5"/>
    </row>
    <row r="69" spans="1:8" ht="15.6" x14ac:dyDescent="0.3">
      <c r="B69" s="9" t="s">
        <v>323</v>
      </c>
      <c r="F69" s="76">
        <f>75.6*3</f>
        <v>226.79999999999998</v>
      </c>
      <c r="G69" s="9" t="s">
        <v>318</v>
      </c>
      <c r="H69" s="9" t="s">
        <v>324</v>
      </c>
    </row>
    <row r="70" spans="1:8" ht="15.6" x14ac:dyDescent="0.3">
      <c r="B70" s="9" t="s">
        <v>325</v>
      </c>
      <c r="F70" s="5"/>
    </row>
    <row r="71" spans="1:8" ht="15.6" x14ac:dyDescent="0.3">
      <c r="B71" s="9" t="s">
        <v>326</v>
      </c>
      <c r="F71" s="5"/>
    </row>
    <row r="72" spans="1:8" ht="15.6" x14ac:dyDescent="0.3">
      <c r="E72" s="9" t="s">
        <v>327</v>
      </c>
      <c r="F72" s="77">
        <f>F67-F69</f>
        <v>73.200000000000017</v>
      </c>
      <c r="G72" s="9" t="s">
        <v>318</v>
      </c>
    </row>
    <row r="74" spans="1:8" ht="15.6" x14ac:dyDescent="0.3">
      <c r="A74" s="9" t="s">
        <v>328</v>
      </c>
    </row>
    <row r="76" spans="1:8" ht="15.6" x14ac:dyDescent="0.3">
      <c r="A76" s="9" t="s">
        <v>329</v>
      </c>
    </row>
    <row r="78" spans="1:8" ht="15.6" x14ac:dyDescent="0.3">
      <c r="B78" s="9" t="s">
        <v>330</v>
      </c>
    </row>
    <row r="80" spans="1:8" ht="15.6" x14ac:dyDescent="0.3">
      <c r="C80" s="9" t="s">
        <v>331</v>
      </c>
      <c r="D80" s="9">
        <v>2</v>
      </c>
    </row>
    <row r="81" spans="1:12" ht="15.6" x14ac:dyDescent="0.3">
      <c r="C81" s="9" t="s">
        <v>332</v>
      </c>
      <c r="D81" s="9">
        <v>2</v>
      </c>
    </row>
    <row r="82" spans="1:12" ht="15.6" x14ac:dyDescent="0.3">
      <c r="C82" s="9" t="s">
        <v>333</v>
      </c>
      <c r="D82" s="9">
        <v>2</v>
      </c>
    </row>
    <row r="83" spans="1:12" ht="15.6" x14ac:dyDescent="0.3">
      <c r="C83" s="9" t="s">
        <v>334</v>
      </c>
      <c r="D83" s="9">
        <v>1</v>
      </c>
    </row>
    <row r="84" spans="1:12" ht="15.6" x14ac:dyDescent="0.3">
      <c r="D84" s="9">
        <v>7</v>
      </c>
    </row>
    <row r="86" spans="1:12" ht="15.6" x14ac:dyDescent="0.3">
      <c r="A86" s="9" t="s">
        <v>335</v>
      </c>
      <c r="J86">
        <v>21.1</v>
      </c>
    </row>
    <row r="88" spans="1:12" ht="15.6" x14ac:dyDescent="0.3">
      <c r="C88" s="9">
        <v>7</v>
      </c>
      <c r="D88" s="9" t="s">
        <v>336</v>
      </c>
      <c r="E88" s="9">
        <v>30</v>
      </c>
      <c r="F88" s="9">
        <v>210</v>
      </c>
      <c r="G88" s="9" t="s">
        <v>337</v>
      </c>
    </row>
    <row r="89" spans="1:12" ht="15.6" x14ac:dyDescent="0.3">
      <c r="C89" s="9">
        <v>7</v>
      </c>
      <c r="D89" s="9" t="s">
        <v>336</v>
      </c>
      <c r="E89" s="9">
        <f>J86</f>
        <v>21.1</v>
      </c>
      <c r="F89" s="9">
        <f>7*E89</f>
        <v>147.70000000000002</v>
      </c>
      <c r="G89" s="9" t="s">
        <v>337</v>
      </c>
    </row>
    <row r="90" spans="1:12" ht="15.6" x14ac:dyDescent="0.3">
      <c r="E90" s="9" t="s">
        <v>327</v>
      </c>
      <c r="F90" s="9">
        <f>F88-F89</f>
        <v>62.299999999999983</v>
      </c>
    </row>
    <row r="92" spans="1:12" ht="36.6" customHeight="1" x14ac:dyDescent="0.3">
      <c r="A92" s="758" t="s">
        <v>338</v>
      </c>
      <c r="B92" s="758"/>
      <c r="C92" s="758"/>
      <c r="D92" s="758"/>
      <c r="E92" s="758"/>
      <c r="F92" s="758"/>
      <c r="G92" s="758"/>
      <c r="H92" s="758"/>
      <c r="I92" s="758"/>
      <c r="J92" s="758"/>
      <c r="K92" s="758"/>
      <c r="L92" s="758"/>
    </row>
    <row r="94" spans="1:12" ht="15.6" x14ac:dyDescent="0.3">
      <c r="B94" s="9" t="s">
        <v>339</v>
      </c>
    </row>
    <row r="95" spans="1:12" ht="15.6" x14ac:dyDescent="0.3">
      <c r="B95" s="9" t="s">
        <v>340</v>
      </c>
      <c r="E95" t="s">
        <v>341</v>
      </c>
    </row>
    <row r="97" spans="1:8" ht="14.25" customHeight="1" x14ac:dyDescent="0.3">
      <c r="A97" t="s">
        <v>890</v>
      </c>
    </row>
    <row r="108" spans="1:8" ht="15.6" x14ac:dyDescent="0.3">
      <c r="E108" s="78"/>
    </row>
    <row r="109" spans="1:8" ht="15.6" x14ac:dyDescent="0.3">
      <c r="E109" s="78"/>
    </row>
    <row r="111" spans="1:8" ht="15.6" x14ac:dyDescent="0.3">
      <c r="H111" s="78"/>
    </row>
    <row r="112" spans="1:8" ht="15.6" x14ac:dyDescent="0.3">
      <c r="H112" s="78"/>
    </row>
    <row r="116" spans="3:6" ht="15.6" x14ac:dyDescent="0.3">
      <c r="C116" s="79"/>
    </row>
    <row r="121" spans="3:6" ht="15.6" x14ac:dyDescent="0.3">
      <c r="F121" s="73"/>
    </row>
  </sheetData>
  <mergeCells count="1">
    <mergeCell ref="A92:L92"/>
  </mergeCells>
  <printOptions horizontalCentered="1" verticalCentered="1"/>
  <pageMargins left="0.11811023622047245" right="0.11811023622047245" top="0.15748031496062992" bottom="0.35433070866141736" header="0.51181102362204722" footer="0.51181102362204722"/>
  <pageSetup paperSize="9" scale="90"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17"/>
  <sheetViews>
    <sheetView topLeftCell="A60" zoomScale="98" zoomScaleNormal="99" workbookViewId="0">
      <selection activeCell="J87" sqref="J87:L87"/>
    </sheetView>
  </sheetViews>
  <sheetFormatPr baseColWidth="10" defaultColWidth="10.5546875" defaultRowHeight="14.25" customHeight="1"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80" customFormat="1" ht="15.75" customHeight="1" x14ac:dyDescent="0.3">
      <c r="A1" s="676" t="s">
        <v>342</v>
      </c>
      <c r="B1" s="676"/>
      <c r="C1" s="676"/>
      <c r="D1" s="676"/>
      <c r="E1" s="676"/>
      <c r="F1" s="676"/>
      <c r="G1" s="676"/>
      <c r="H1" s="676"/>
      <c r="I1" s="676"/>
      <c r="J1" s="676"/>
    </row>
    <row r="2" spans="1:10" s="80" customFormat="1" ht="15.75" customHeight="1" x14ac:dyDescent="0.3">
      <c r="A2" s="677" t="s">
        <v>343</v>
      </c>
      <c r="B2" s="677"/>
      <c r="C2" s="677"/>
      <c r="D2" s="677"/>
      <c r="E2" s="81"/>
      <c r="F2" s="678" t="s">
        <v>344</v>
      </c>
      <c r="G2" s="678"/>
      <c r="H2" s="678"/>
      <c r="I2" s="678"/>
      <c r="J2" s="678"/>
    </row>
    <row r="3" spans="1:10" s="80" customFormat="1" ht="15.75" customHeight="1" x14ac:dyDescent="0.25">
      <c r="A3" s="82" t="s">
        <v>345</v>
      </c>
      <c r="B3" s="674" t="str">
        <f>'Masque de Saisie'!G4</f>
        <v>BDO</v>
      </c>
      <c r="C3" s="674"/>
      <c r="D3" s="674"/>
      <c r="E3" s="83"/>
      <c r="F3" s="84" t="s">
        <v>345</v>
      </c>
      <c r="G3" s="674" t="str">
        <f>'Masque de Saisie'!E28</f>
        <v xml:space="preserve">LE GARREC </v>
      </c>
      <c r="H3" s="674"/>
      <c r="I3" s="674"/>
      <c r="J3" s="674"/>
    </row>
    <row r="4" spans="1:10" s="80" customFormat="1" ht="15.75" customHeight="1" x14ac:dyDescent="0.25">
      <c r="A4" s="82" t="s">
        <v>346</v>
      </c>
      <c r="B4" s="674" t="str">
        <f>'Masque de Saisie'!G5</f>
        <v xml:space="preserve">29 Rue Clémenceau  22430 Erquy </v>
      </c>
      <c r="C4" s="674"/>
      <c r="D4" s="674"/>
      <c r="E4" s="83"/>
      <c r="F4" s="84" t="s">
        <v>347</v>
      </c>
      <c r="G4" s="674" t="str">
        <f>'Masque de Saisie'!E29</f>
        <v xml:space="preserve">Yvon </v>
      </c>
      <c r="H4" s="674"/>
      <c r="I4" s="674"/>
      <c r="J4" s="674"/>
    </row>
    <row r="5" spans="1:10" s="80" customFormat="1" ht="15.75" customHeight="1" x14ac:dyDescent="0.25">
      <c r="A5" s="82"/>
      <c r="B5" s="673"/>
      <c r="C5" s="673"/>
      <c r="D5" s="673"/>
      <c r="E5" s="83"/>
      <c r="F5" s="84" t="s">
        <v>348</v>
      </c>
      <c r="G5" s="679" t="str">
        <f>'Masque de Saisie'!E31</f>
        <v xml:space="preserve">Gestionnaire Paie </v>
      </c>
      <c r="H5" s="679"/>
      <c r="I5" s="679"/>
      <c r="J5" s="679"/>
    </row>
    <row r="6" spans="1:10" s="80" customFormat="1" ht="15.75" customHeight="1" x14ac:dyDescent="0.25">
      <c r="A6" s="82" t="s">
        <v>349</v>
      </c>
      <c r="B6" s="671">
        <f>'Masque de Saisie'!G6</f>
        <v>4980785750020</v>
      </c>
      <c r="C6" s="671"/>
      <c r="D6" s="671"/>
      <c r="E6" s="86"/>
      <c r="F6" s="84" t="s">
        <v>350</v>
      </c>
      <c r="G6" s="672"/>
      <c r="H6" s="672"/>
      <c r="I6" s="672"/>
      <c r="J6" s="672"/>
    </row>
    <row r="7" spans="1:10" s="80" customFormat="1" ht="15.75" customHeight="1" x14ac:dyDescent="0.25">
      <c r="A7" s="82" t="s">
        <v>351</v>
      </c>
      <c r="B7" s="673" t="str">
        <f>'Masque de Saisie'!G7</f>
        <v>6920Z</v>
      </c>
      <c r="C7" s="673"/>
      <c r="D7" s="673"/>
      <c r="E7" s="83"/>
      <c r="F7" s="84" t="s">
        <v>352</v>
      </c>
      <c r="G7" s="673" t="s">
        <v>235</v>
      </c>
      <c r="H7" s="673"/>
      <c r="I7" s="673"/>
      <c r="J7" s="673"/>
    </row>
    <row r="8" spans="1:10" s="80" customFormat="1" ht="15.75" customHeight="1" x14ac:dyDescent="0.25">
      <c r="A8" s="82" t="s">
        <v>353</v>
      </c>
      <c r="B8" s="671"/>
      <c r="C8" s="671"/>
      <c r="D8" s="671"/>
      <c r="E8" s="86"/>
      <c r="F8" s="87" t="s">
        <v>346</v>
      </c>
      <c r="G8" s="674" t="str">
        <f>'Masque de Saisie'!E30</f>
        <v xml:space="preserve">2 Avenue du Val Fleuri 22520 Binic </v>
      </c>
      <c r="H8" s="674"/>
      <c r="I8" s="674"/>
      <c r="J8" s="674"/>
    </row>
    <row r="9" spans="1:10" s="80" customFormat="1" ht="15.75" customHeight="1" x14ac:dyDescent="0.25">
      <c r="A9" s="82" t="s">
        <v>354</v>
      </c>
      <c r="B9" s="88">
        <f>'Masque de Saisie'!G9</f>
        <v>30</v>
      </c>
      <c r="C9" s="673"/>
      <c r="D9" s="673"/>
      <c r="E9" s="83"/>
      <c r="F9" s="675" t="s">
        <v>355</v>
      </c>
      <c r="G9" s="675"/>
      <c r="H9" s="89"/>
      <c r="I9" s="85">
        <v>2</v>
      </c>
      <c r="J9" s="85" t="s">
        <v>237</v>
      </c>
    </row>
    <row r="10" spans="1:10" s="80" customFormat="1" ht="15.75" customHeight="1" x14ac:dyDescent="0.25">
      <c r="A10" s="90" t="s">
        <v>11</v>
      </c>
      <c r="B10" s="91">
        <f>+'Masque de Saisie'!E48</f>
        <v>151.66999999999999</v>
      </c>
      <c r="C10" s="85" t="s">
        <v>356</v>
      </c>
      <c r="D10" s="92">
        <f>+'Masque de Saisie'!E45</f>
        <v>11.88</v>
      </c>
      <c r="E10" s="83"/>
      <c r="F10" s="673" t="s">
        <v>357</v>
      </c>
      <c r="G10" s="673"/>
      <c r="H10" s="93">
        <f>+'Masque de Saisie'!E40</f>
        <v>45931</v>
      </c>
      <c r="I10" s="94" t="s">
        <v>358</v>
      </c>
      <c r="J10" s="93">
        <f>+'Masque de Saisie'!E41</f>
        <v>45961</v>
      </c>
    </row>
    <row r="11" spans="1:10" s="80" customFormat="1" ht="33.75" customHeight="1" x14ac:dyDescent="0.25">
      <c r="A11" s="95"/>
      <c r="B11" s="669" t="str">
        <f>'Masque de Saisie'!G8</f>
        <v>Convention Collective du Personnel des cabinets d'experts-comptables et de commissaires aux comptes Code IDCC 0787</v>
      </c>
      <c r="C11" s="669"/>
      <c r="D11" s="669"/>
      <c r="E11" s="96"/>
      <c r="F11" s="95" t="s">
        <v>359</v>
      </c>
      <c r="G11" s="97">
        <f>+'Masque de Saisie'!E42</f>
        <v>45961</v>
      </c>
      <c r="H11" s="98"/>
      <c r="I11" s="98"/>
      <c r="J11" s="99"/>
    </row>
    <row r="12" spans="1:10" s="80" customFormat="1" ht="15.75" customHeight="1" x14ac:dyDescent="0.25">
      <c r="A12" s="670"/>
      <c r="B12" s="670"/>
      <c r="C12" s="670"/>
      <c r="D12" s="670"/>
      <c r="E12" s="670"/>
      <c r="F12" s="670"/>
      <c r="G12" s="670"/>
      <c r="H12" s="670"/>
      <c r="I12" s="670"/>
      <c r="J12" s="670"/>
    </row>
    <row r="13" spans="1:10" s="80" customFormat="1" ht="18.75" customHeight="1" x14ac:dyDescent="0.25">
      <c r="A13" s="668" t="s">
        <v>360</v>
      </c>
      <c r="B13" s="668"/>
      <c r="C13" s="668"/>
      <c r="D13" s="668"/>
      <c r="E13" s="668"/>
      <c r="F13" s="668"/>
      <c r="G13" s="101">
        <f>+'Masque de Saisie'!E44</f>
        <v>151.66999999999999</v>
      </c>
      <c r="H13" s="95" t="s">
        <v>361</v>
      </c>
      <c r="I13" s="102">
        <f>J13/G13</f>
        <v>21.098437396980287</v>
      </c>
      <c r="J13" s="103">
        <f>'Masque de Saisie'!E43</f>
        <v>3200</v>
      </c>
    </row>
    <row r="14" spans="1:10" s="80" customFormat="1" ht="18.75" hidden="1" customHeight="1" x14ac:dyDescent="0.25">
      <c r="A14" s="668" t="s">
        <v>362</v>
      </c>
      <c r="B14" s="668"/>
      <c r="C14" s="668"/>
      <c r="D14" s="668"/>
      <c r="E14" s="668"/>
      <c r="F14" s="668"/>
      <c r="G14" s="95"/>
      <c r="H14" s="95"/>
      <c r="I14" s="102"/>
      <c r="J14" s="103"/>
    </row>
    <row r="15" spans="1:10" s="80" customFormat="1" ht="18.75" hidden="1" customHeight="1" x14ac:dyDescent="0.25">
      <c r="A15" s="668" t="s">
        <v>363</v>
      </c>
      <c r="B15" s="668"/>
      <c r="C15" s="668"/>
      <c r="D15" s="668"/>
      <c r="E15" s="668"/>
      <c r="F15" s="668"/>
      <c r="G15" s="100"/>
      <c r="H15" s="104"/>
      <c r="I15" s="102"/>
      <c r="J15" s="103"/>
    </row>
    <row r="16" spans="1:10" s="80" customFormat="1" ht="18.75" hidden="1" customHeight="1" x14ac:dyDescent="0.25">
      <c r="A16" s="668" t="s">
        <v>364</v>
      </c>
      <c r="B16" s="668"/>
      <c r="C16" s="668"/>
      <c r="D16" s="668"/>
      <c r="E16" s="668"/>
      <c r="F16" s="668"/>
      <c r="G16" s="100"/>
      <c r="H16" s="104"/>
      <c r="I16" s="102"/>
      <c r="J16" s="103"/>
    </row>
    <row r="17" spans="1:10" s="80" customFormat="1" ht="18.75" hidden="1" customHeight="1" x14ac:dyDescent="0.25">
      <c r="A17" s="668" t="s">
        <v>365</v>
      </c>
      <c r="B17" s="668"/>
      <c r="C17" s="668"/>
      <c r="D17" s="668"/>
      <c r="E17" s="668"/>
      <c r="F17" s="668"/>
      <c r="G17" s="100"/>
      <c r="H17" s="104" t="s">
        <v>361</v>
      </c>
      <c r="I17" s="102"/>
      <c r="J17" s="103"/>
    </row>
    <row r="18" spans="1:10" s="80" customFormat="1" ht="18.75" hidden="1" customHeight="1" x14ac:dyDescent="0.25">
      <c r="A18" s="668" t="s">
        <v>366</v>
      </c>
      <c r="B18" s="668"/>
      <c r="C18" s="668"/>
      <c r="D18" s="668"/>
      <c r="E18" s="668"/>
      <c r="F18" s="668"/>
      <c r="G18" s="100"/>
      <c r="H18" s="104" t="s">
        <v>361</v>
      </c>
      <c r="I18" s="102"/>
      <c r="J18" s="103">
        <f>ROUND(G18*I18,2)</f>
        <v>0</v>
      </c>
    </row>
    <row r="19" spans="1:10" s="80" customFormat="1" ht="18.75" hidden="1" customHeight="1" x14ac:dyDescent="0.25">
      <c r="A19" s="668" t="s">
        <v>367</v>
      </c>
      <c r="B19" s="668"/>
      <c r="C19" s="668"/>
      <c r="D19" s="668"/>
      <c r="E19" s="668"/>
      <c r="F19" s="668"/>
      <c r="G19" s="100"/>
      <c r="H19" s="104" t="s">
        <v>361</v>
      </c>
      <c r="I19" s="102"/>
      <c r="J19" s="103">
        <f>ROUND(G19*I19,2)</f>
        <v>0</v>
      </c>
    </row>
    <row r="20" spans="1:10" s="80" customFormat="1" ht="18.75" hidden="1" customHeight="1" x14ac:dyDescent="0.25">
      <c r="A20" s="668" t="s">
        <v>368</v>
      </c>
      <c r="B20" s="668"/>
      <c r="C20" s="668"/>
      <c r="D20" s="668"/>
      <c r="E20" s="668"/>
      <c r="F20" s="668"/>
      <c r="G20" s="100"/>
      <c r="H20" s="104" t="s">
        <v>361</v>
      </c>
      <c r="I20" s="102"/>
      <c r="J20" s="103">
        <f>ROUND(G20*I20,2)</f>
        <v>0</v>
      </c>
    </row>
    <row r="21" spans="1:10" s="80" customFormat="1" ht="18.75" hidden="1" customHeight="1" x14ac:dyDescent="0.25">
      <c r="A21" s="668" t="s">
        <v>369</v>
      </c>
      <c r="B21" s="668"/>
      <c r="C21" s="668"/>
      <c r="D21" s="668"/>
      <c r="E21" s="668"/>
      <c r="F21" s="668"/>
      <c r="G21" s="105"/>
      <c r="H21" s="104" t="s">
        <v>361</v>
      </c>
      <c r="I21" s="102">
        <f>ROUND(((J13+J16)*1.25/G13),6)</f>
        <v>26.373047</v>
      </c>
      <c r="J21" s="103">
        <f>ROUND(G21*I21,2)</f>
        <v>0</v>
      </c>
    </row>
    <row r="22" spans="1:10" s="80" customFormat="1" ht="18.75" hidden="1" customHeight="1" x14ac:dyDescent="0.25">
      <c r="A22" s="668" t="s">
        <v>370</v>
      </c>
      <c r="B22" s="668"/>
      <c r="C22" s="668"/>
      <c r="D22" s="668"/>
      <c r="E22" s="668"/>
      <c r="F22" s="668"/>
      <c r="G22" s="100"/>
      <c r="H22" s="104" t="s">
        <v>371</v>
      </c>
      <c r="I22" s="95"/>
      <c r="J22" s="103"/>
    </row>
    <row r="23" spans="1:10" s="80" customFormat="1" ht="18.75" hidden="1" customHeight="1" x14ac:dyDescent="0.25">
      <c r="A23" s="668" t="s">
        <v>372</v>
      </c>
      <c r="B23" s="668"/>
      <c r="C23" s="668"/>
      <c r="D23" s="668"/>
      <c r="E23" s="668"/>
      <c r="F23" s="668"/>
      <c r="G23" s="106"/>
      <c r="H23" s="107"/>
      <c r="I23" s="108"/>
      <c r="J23" s="109"/>
    </row>
    <row r="24" spans="1:10" s="80" customFormat="1" ht="18.75" hidden="1" customHeight="1" x14ac:dyDescent="0.25">
      <c r="A24" s="668" t="s">
        <v>373</v>
      </c>
      <c r="B24" s="668"/>
      <c r="C24" s="668"/>
      <c r="D24" s="668"/>
      <c r="E24" s="668"/>
      <c r="F24" s="668"/>
      <c r="G24" s="106"/>
      <c r="H24" s="107"/>
      <c r="I24" s="108"/>
      <c r="J24" s="109"/>
    </row>
    <row r="25" spans="1:10" s="80" customFormat="1" ht="18.75" hidden="1" customHeight="1" x14ac:dyDescent="0.25">
      <c r="A25" s="668" t="s">
        <v>374</v>
      </c>
      <c r="B25" s="668"/>
      <c r="C25" s="668"/>
      <c r="D25" s="668"/>
      <c r="E25" s="668"/>
      <c r="F25" s="668"/>
      <c r="G25" s="106"/>
      <c r="H25" s="107"/>
      <c r="I25" s="108"/>
      <c r="J25" s="109"/>
    </row>
    <row r="26" spans="1:10" s="80" customFormat="1" ht="18.75" hidden="1" customHeight="1" x14ac:dyDescent="0.25">
      <c r="A26" s="663" t="s">
        <v>375</v>
      </c>
      <c r="B26" s="663"/>
      <c r="C26" s="663"/>
      <c r="D26" s="663"/>
      <c r="E26" s="663"/>
      <c r="F26" s="663"/>
      <c r="G26" s="106"/>
      <c r="H26" s="107"/>
      <c r="I26" s="108"/>
      <c r="J26" s="109"/>
    </row>
    <row r="27" spans="1:10" s="80" customFormat="1" ht="18.75" hidden="1" customHeight="1" x14ac:dyDescent="0.25">
      <c r="A27" s="663" t="s">
        <v>376</v>
      </c>
      <c r="B27" s="663"/>
      <c r="C27" s="663"/>
      <c r="D27" s="663"/>
      <c r="E27" s="663"/>
      <c r="F27" s="663"/>
      <c r="G27" s="106"/>
      <c r="H27" s="107"/>
      <c r="I27" s="108"/>
      <c r="J27" s="109"/>
    </row>
    <row r="28" spans="1:10" s="80" customFormat="1" ht="18.75" hidden="1" customHeight="1" x14ac:dyDescent="0.25">
      <c r="A28" s="663" t="s">
        <v>377</v>
      </c>
      <c r="B28" s="663"/>
      <c r="C28" s="663"/>
      <c r="D28" s="663"/>
      <c r="E28" s="663"/>
      <c r="F28" s="663"/>
      <c r="G28" s="106"/>
      <c r="H28" s="107"/>
      <c r="I28" s="108"/>
      <c r="J28" s="109"/>
    </row>
    <row r="29" spans="1:10" s="80" customFormat="1" ht="18.75" hidden="1" customHeight="1" x14ac:dyDescent="0.25">
      <c r="A29" s="663" t="s">
        <v>378</v>
      </c>
      <c r="B29" s="663"/>
      <c r="C29" s="663"/>
      <c r="D29" s="663"/>
      <c r="E29" s="663"/>
      <c r="F29" s="663"/>
      <c r="G29" s="106"/>
      <c r="H29" s="107"/>
      <c r="I29" s="108"/>
      <c r="J29" s="109"/>
    </row>
    <row r="30" spans="1:10" s="80" customFormat="1" ht="18.75" hidden="1" customHeight="1" x14ac:dyDescent="0.25">
      <c r="A30" s="663" t="s">
        <v>379</v>
      </c>
      <c r="B30" s="663"/>
      <c r="C30" s="663"/>
      <c r="D30" s="663"/>
      <c r="E30" s="663"/>
      <c r="F30" s="663"/>
      <c r="G30" s="106"/>
      <c r="H30" s="107"/>
      <c r="I30" s="108"/>
      <c r="J30" s="109"/>
    </row>
    <row r="31" spans="1:10" s="80" customFormat="1" ht="18.75" hidden="1" customHeight="1" x14ac:dyDescent="0.25">
      <c r="A31" s="663" t="s">
        <v>380</v>
      </c>
      <c r="B31" s="663"/>
      <c r="C31" s="663"/>
      <c r="D31" s="663"/>
      <c r="E31" s="663"/>
      <c r="F31" s="663"/>
      <c r="G31" s="106"/>
      <c r="H31" s="107"/>
      <c r="I31" s="108"/>
      <c r="J31" s="109"/>
    </row>
    <row r="32" spans="1:10" s="80" customFormat="1" ht="18.75" customHeight="1" x14ac:dyDescent="0.25">
      <c r="A32" s="663" t="s">
        <v>381</v>
      </c>
      <c r="B32" s="663"/>
      <c r="C32" s="663"/>
      <c r="D32" s="663"/>
      <c r="E32" s="663"/>
      <c r="F32" s="663"/>
      <c r="G32" s="106"/>
      <c r="H32" s="107"/>
      <c r="I32" s="108"/>
      <c r="J32" s="109">
        <f>'ENONCE 2025'!F90</f>
        <v>62.299999999999983</v>
      </c>
    </row>
    <row r="33" spans="1:16" s="80" customFormat="1" ht="18.75" customHeight="1" x14ac:dyDescent="0.3">
      <c r="A33" s="664" t="s">
        <v>382</v>
      </c>
      <c r="B33" s="664"/>
      <c r="C33" s="110">
        <f>'Masque de Saisie'!E46</f>
        <v>3925</v>
      </c>
      <c r="D33" s="665" t="s">
        <v>383</v>
      </c>
      <c r="E33" s="665"/>
      <c r="F33" s="665"/>
      <c r="G33" s="665"/>
      <c r="H33" s="665"/>
      <c r="I33" s="665"/>
      <c r="J33" s="111">
        <f>SUM(J13:J32)</f>
        <v>3262.3</v>
      </c>
    </row>
    <row r="34" spans="1:16" s="115" customFormat="1" ht="18.75" customHeight="1" x14ac:dyDescent="0.25">
      <c r="A34" s="666" t="s">
        <v>384</v>
      </c>
      <c r="B34" s="666"/>
      <c r="C34" s="112" t="s">
        <v>385</v>
      </c>
      <c r="D34" s="113" t="s">
        <v>386</v>
      </c>
      <c r="E34" s="113" t="s">
        <v>387</v>
      </c>
      <c r="F34" s="114" t="s">
        <v>388</v>
      </c>
      <c r="G34" s="114" t="s">
        <v>389</v>
      </c>
      <c r="I34" s="116"/>
      <c r="J34" s="116"/>
      <c r="K34" s="117"/>
    </row>
    <row r="35" spans="1:16" ht="12" customHeight="1" x14ac:dyDescent="0.3">
      <c r="A35" s="667" t="s">
        <v>390</v>
      </c>
      <c r="B35" s="667"/>
      <c r="C35" s="118"/>
      <c r="D35" s="119"/>
      <c r="E35" s="119"/>
      <c r="F35" s="118"/>
      <c r="G35" s="118"/>
    </row>
    <row r="36" spans="1:16" ht="16.5" customHeight="1" x14ac:dyDescent="0.3">
      <c r="A36" s="648" t="s">
        <v>391</v>
      </c>
      <c r="B36" s="648"/>
      <c r="C36" s="120">
        <f>J33</f>
        <v>3262.3</v>
      </c>
      <c r="D36" s="121"/>
      <c r="E36" s="122">
        <f>VLOOKUP(A36,TAUX2023,4,FALSE())</f>
        <v>7.0000000000000007E-2</v>
      </c>
      <c r="F36" s="120">
        <f t="shared" ref="F36:F43" si="0">ROUND(C36*D36,2)</f>
        <v>0</v>
      </c>
      <c r="G36" s="120">
        <f t="shared" ref="G36:G43" si="1">ROUND(C36*E36,2)</f>
        <v>228.36</v>
      </c>
      <c r="H36" s="123"/>
      <c r="I36" s="123"/>
      <c r="J36" s="124"/>
      <c r="O36" s="661"/>
      <c r="P36" s="661"/>
    </row>
    <row r="37" spans="1:16" ht="14.25" hidden="1" customHeight="1" x14ac:dyDescent="0.3">
      <c r="A37" s="648" t="s">
        <v>392</v>
      </c>
      <c r="B37" s="648"/>
      <c r="C37" s="126">
        <f>IF(J33&gt;2.25*B10*'TABLE DES TAUX 2025 '!D53,J33,0)</f>
        <v>0</v>
      </c>
      <c r="D37" s="121"/>
      <c r="E37" s="122">
        <f>VLOOKUP(A37,TAUX2023,4,FALSE())</f>
        <v>0.06</v>
      </c>
      <c r="F37" s="120">
        <f t="shared" si="0"/>
        <v>0</v>
      </c>
      <c r="G37" s="120">
        <f t="shared" si="1"/>
        <v>0</v>
      </c>
      <c r="H37" s="123"/>
      <c r="I37" s="123"/>
      <c r="O37" s="661"/>
      <c r="P37" s="661"/>
    </row>
    <row r="38" spans="1:16" ht="17.25" customHeight="1" x14ac:dyDescent="0.3">
      <c r="A38" s="648" t="s">
        <v>217</v>
      </c>
      <c r="B38" s="648"/>
      <c r="C38" s="120">
        <f>J33</f>
        <v>3262.3</v>
      </c>
      <c r="D38" s="121">
        <f>'Masque de Saisie'!G15</f>
        <v>0.01</v>
      </c>
      <c r="E38" s="121">
        <f>'Masque de Saisie'!H15</f>
        <v>0.02</v>
      </c>
      <c r="F38" s="120">
        <f t="shared" si="0"/>
        <v>32.619999999999997</v>
      </c>
      <c r="G38" s="120">
        <f t="shared" si="1"/>
        <v>65.25</v>
      </c>
      <c r="H38" s="80"/>
      <c r="I38" s="124"/>
      <c r="O38" s="661"/>
      <c r="P38" s="661"/>
    </row>
    <row r="39" spans="1:16" ht="26.25" hidden="1" customHeight="1" x14ac:dyDescent="0.3">
      <c r="A39" s="648" t="s">
        <v>393</v>
      </c>
      <c r="B39" s="648"/>
      <c r="C39" s="120">
        <f>IF(G7=2,0,J33)</f>
        <v>3262.3</v>
      </c>
      <c r="D39" s="121">
        <f>'Masque de Saisie'!G12</f>
        <v>0</v>
      </c>
      <c r="E39" s="121">
        <f>'Masque de Saisie'!H12</f>
        <v>0</v>
      </c>
      <c r="F39" s="120">
        <f t="shared" si="0"/>
        <v>0</v>
      </c>
      <c r="G39" s="120">
        <f t="shared" si="1"/>
        <v>0</v>
      </c>
      <c r="H39" s="80"/>
      <c r="I39" s="124"/>
      <c r="O39" s="661"/>
      <c r="P39" s="661"/>
    </row>
    <row r="40" spans="1:16" ht="26.25" hidden="1" customHeight="1" x14ac:dyDescent="0.3">
      <c r="A40" s="648" t="s">
        <v>394</v>
      </c>
      <c r="B40" s="648"/>
      <c r="C40" s="120">
        <f>C39</f>
        <v>3262.3</v>
      </c>
      <c r="D40" s="121">
        <f>'Masque de Saisie'!G13</f>
        <v>0</v>
      </c>
      <c r="E40" s="121">
        <f>'Masque de Saisie'!H13</f>
        <v>0</v>
      </c>
      <c r="F40" s="120">
        <f t="shared" si="0"/>
        <v>0</v>
      </c>
      <c r="G40" s="120">
        <f t="shared" si="1"/>
        <v>0</v>
      </c>
      <c r="H40" s="80"/>
      <c r="I40" s="124"/>
      <c r="O40" s="661"/>
      <c r="P40" s="661"/>
    </row>
    <row r="41" spans="1:16" ht="16.5" customHeight="1" x14ac:dyDescent="0.3">
      <c r="A41" s="648" t="s">
        <v>395</v>
      </c>
      <c r="B41" s="648"/>
      <c r="C41" s="120">
        <f>C38</f>
        <v>3262.3</v>
      </c>
      <c r="D41" s="121">
        <f>'Masque de Saisie'!G17</f>
        <v>0.01</v>
      </c>
      <c r="E41" s="121">
        <f>'Masque de Saisie'!H17</f>
        <v>0.02</v>
      </c>
      <c r="F41" s="120">
        <f t="shared" si="0"/>
        <v>32.619999999999997</v>
      </c>
      <c r="G41" s="120">
        <f t="shared" si="1"/>
        <v>65.25</v>
      </c>
      <c r="H41" s="127"/>
      <c r="I41" s="80"/>
      <c r="J41" s="128"/>
      <c r="O41" s="661"/>
      <c r="P41" s="661"/>
    </row>
    <row r="42" spans="1:16" ht="26.25" hidden="1" customHeight="1" x14ac:dyDescent="0.3">
      <c r="A42" s="648" t="s">
        <v>396</v>
      </c>
      <c r="B42" s="648"/>
      <c r="C42" s="120">
        <f>IF(G7=2,IF(E41=0,IF(J33&gt;C33,C33,J33),0),0)</f>
        <v>0</v>
      </c>
      <c r="D42" s="121"/>
      <c r="E42" s="122">
        <f>'Masque de Saisie'!H18</f>
        <v>0</v>
      </c>
      <c r="F42" s="120">
        <f t="shared" si="0"/>
        <v>0</v>
      </c>
      <c r="G42" s="120">
        <f t="shared" si="1"/>
        <v>0</v>
      </c>
      <c r="H42" s="127"/>
      <c r="I42" s="80"/>
      <c r="J42" s="128"/>
      <c r="O42" s="125"/>
      <c r="P42" s="125"/>
    </row>
    <row r="43" spans="1:16" ht="26.25" hidden="1" customHeight="1" x14ac:dyDescent="0.3">
      <c r="A43" s="656" t="s">
        <v>397</v>
      </c>
      <c r="B43" s="656"/>
      <c r="C43" s="126"/>
      <c r="D43" s="121">
        <f>'Masque de Saisie'!G17</f>
        <v>0.01</v>
      </c>
      <c r="E43" s="122">
        <f>+'Masque de Saisie'!H17</f>
        <v>0.02</v>
      </c>
      <c r="F43" s="120">
        <f t="shared" si="0"/>
        <v>0</v>
      </c>
      <c r="G43" s="120">
        <f t="shared" si="1"/>
        <v>0</v>
      </c>
      <c r="H43" s="127"/>
      <c r="I43" s="80"/>
      <c r="J43" s="128"/>
      <c r="O43" s="125"/>
      <c r="P43" s="125"/>
    </row>
    <row r="44" spans="1:16" ht="14.4" hidden="1" x14ac:dyDescent="0.3">
      <c r="A44" s="662"/>
      <c r="B44" s="662"/>
      <c r="C44" s="130"/>
      <c r="D44" s="130"/>
      <c r="E44" s="130"/>
      <c r="F44" s="130"/>
      <c r="G44" s="130"/>
      <c r="H44" s="127"/>
      <c r="I44" s="80"/>
      <c r="J44" s="80"/>
      <c r="O44" s="661"/>
      <c r="P44" s="661"/>
    </row>
    <row r="45" spans="1:16" ht="14.4" hidden="1" x14ac:dyDescent="0.3">
      <c r="A45" s="650"/>
      <c r="B45" s="650"/>
      <c r="C45" s="120"/>
      <c r="D45" s="121"/>
      <c r="E45" s="122"/>
      <c r="F45" s="120"/>
      <c r="G45" s="120"/>
      <c r="H45" s="127"/>
      <c r="I45" s="80"/>
      <c r="J45" s="80"/>
      <c r="O45" s="661"/>
      <c r="P45" s="661"/>
    </row>
    <row r="46" spans="1:16" ht="14.4" hidden="1" x14ac:dyDescent="0.3">
      <c r="A46" s="650"/>
      <c r="B46" s="650"/>
      <c r="C46" s="120"/>
      <c r="D46" s="121"/>
      <c r="E46" s="122"/>
      <c r="F46" s="120"/>
      <c r="G46" s="120"/>
      <c r="H46" s="127"/>
      <c r="I46" s="80"/>
      <c r="J46" s="80"/>
      <c r="O46" s="661"/>
      <c r="P46" s="661"/>
    </row>
    <row r="47" spans="1:16" ht="20.25" customHeight="1" x14ac:dyDescent="0.3">
      <c r="A47" s="657" t="s">
        <v>398</v>
      </c>
      <c r="B47" s="657"/>
      <c r="C47" s="131">
        <f>J33</f>
        <v>3262.3</v>
      </c>
      <c r="D47" s="121"/>
      <c r="E47" s="122">
        <f>'Masque de Saisie'!H23</f>
        <v>1.4999999999999999E-2</v>
      </c>
      <c r="F47" s="120">
        <f>ROUND(C47*D47,2)</f>
        <v>0</v>
      </c>
      <c r="G47" s="120">
        <f>ROUND(C47*E47,2)</f>
        <v>48.93</v>
      </c>
      <c r="H47" s="127"/>
      <c r="L47" s="658"/>
    </row>
    <row r="48" spans="1:16" ht="16.5" customHeight="1" x14ac:dyDescent="0.3">
      <c r="A48" s="657" t="s">
        <v>399</v>
      </c>
      <c r="B48" s="657"/>
      <c r="C48" s="133"/>
      <c r="D48" s="121"/>
      <c r="E48" s="122"/>
      <c r="F48" s="120"/>
      <c r="G48" s="120"/>
      <c r="H48" s="127"/>
      <c r="L48" s="658"/>
    </row>
    <row r="49" spans="1:17" ht="18" customHeight="1" x14ac:dyDescent="0.3">
      <c r="A49" s="656" t="s">
        <v>400</v>
      </c>
      <c r="B49" s="656"/>
      <c r="C49" s="120">
        <f>IF(J33&gt;C33,C33,J33)</f>
        <v>3262.3</v>
      </c>
      <c r="D49" s="121">
        <f>VLOOKUP(A49,TAUX2023,3,FALSE())</f>
        <v>6.9000000000000006E-2</v>
      </c>
      <c r="E49" s="122">
        <f>VLOOKUP(A49,TAUX2023,4,FALSE())</f>
        <v>8.5500000000000007E-2</v>
      </c>
      <c r="F49" s="120">
        <f>ROUND(C49*D49,2)</f>
        <v>225.1</v>
      </c>
      <c r="G49" s="120">
        <f>ROUND(C49*E49,2)</f>
        <v>278.93</v>
      </c>
      <c r="H49" s="127"/>
      <c r="I49" s="134"/>
      <c r="J49" s="134"/>
    </row>
    <row r="50" spans="1:17" ht="18" customHeight="1" x14ac:dyDescent="0.3">
      <c r="A50" s="656" t="s">
        <v>401</v>
      </c>
      <c r="B50" s="656"/>
      <c r="C50" s="120">
        <f>J33</f>
        <v>3262.3</v>
      </c>
      <c r="D50" s="121">
        <f>VLOOKUP(A50,TAUX2023,3,FALSE())</f>
        <v>4.0000000000000001E-3</v>
      </c>
      <c r="E50" s="122">
        <f>VLOOKUP(A50,TAUX2023,4,FALSE())</f>
        <v>2.0199999999999999E-2</v>
      </c>
      <c r="F50" s="120">
        <f>ROUND(C50*D50,2)</f>
        <v>13.05</v>
      </c>
      <c r="G50" s="120">
        <f>ROUND(C50*E50,2)</f>
        <v>65.900000000000006</v>
      </c>
      <c r="H50" s="123"/>
      <c r="I50" s="123"/>
      <c r="J50" s="134"/>
    </row>
    <row r="51" spans="1:17" ht="13.5" customHeight="1" x14ac:dyDescent="0.3">
      <c r="A51" s="656" t="s">
        <v>402</v>
      </c>
      <c r="B51" s="656"/>
      <c r="C51" s="120">
        <f>IF(J33&gt;C33,C33,J33)</f>
        <v>3262.3</v>
      </c>
      <c r="D51" s="121">
        <f>'BP FORMAT JUILLET 2023'!D53</f>
        <v>4.0099999999999997E-2</v>
      </c>
      <c r="E51" s="122">
        <f>'BP FORMAT JUILLET 2023'!E53</f>
        <v>6.0100000000000001E-2</v>
      </c>
      <c r="F51" s="120">
        <f>ROUND(C51*D51,2)</f>
        <v>130.82</v>
      </c>
      <c r="G51" s="120">
        <f>ROUND(C51*E51,2)</f>
        <v>196.06</v>
      </c>
      <c r="H51" s="123"/>
      <c r="I51" s="123"/>
      <c r="J51" s="134"/>
      <c r="K51" s="135"/>
      <c r="M51" s="659"/>
      <c r="N51" s="659"/>
      <c r="O51" s="659"/>
    </row>
    <row r="52" spans="1:17" ht="26.25" hidden="1" customHeight="1" x14ac:dyDescent="0.3">
      <c r="A52" s="656" t="s">
        <v>403</v>
      </c>
      <c r="B52" s="656"/>
      <c r="C52" s="120">
        <f>IF(J33&gt;8*C33,7*C33,IF(J33&gt;C33,J33-C33,0))</f>
        <v>0</v>
      </c>
      <c r="D52" s="121">
        <f>'BP FORMAT JUILLET 2023'!D54</f>
        <v>0</v>
      </c>
      <c r="E52" s="122">
        <f>'BP FORMAT JUILLET 2023'!E54</f>
        <v>0</v>
      </c>
      <c r="F52" s="120">
        <f>ROUND(C52*D52,2)</f>
        <v>0</v>
      </c>
      <c r="G52" s="120">
        <f>ROUND(C52*E52,2)</f>
        <v>0</v>
      </c>
      <c r="H52" s="123"/>
      <c r="I52" s="123"/>
      <c r="J52" s="134"/>
      <c r="K52" s="135"/>
      <c r="M52" s="660"/>
      <c r="N52" s="660"/>
      <c r="O52" s="137"/>
      <c r="P52" s="138"/>
      <c r="Q52" s="137"/>
    </row>
    <row r="53" spans="1:17" ht="26.25" hidden="1" customHeight="1" x14ac:dyDescent="0.3">
      <c r="A53" s="650"/>
      <c r="B53" s="650"/>
      <c r="C53" s="120"/>
      <c r="D53" s="121"/>
      <c r="E53" s="122"/>
      <c r="F53" s="120"/>
      <c r="G53" s="120"/>
      <c r="H53" s="123"/>
      <c r="I53" s="123"/>
      <c r="J53" s="134"/>
      <c r="K53" s="135"/>
      <c r="M53" s="136"/>
      <c r="N53" s="136"/>
      <c r="O53" s="137"/>
      <c r="P53" s="138"/>
      <c r="Q53" s="137"/>
    </row>
    <row r="54" spans="1:17" ht="26.25" hidden="1" customHeight="1" x14ac:dyDescent="0.3">
      <c r="A54" s="650"/>
      <c r="B54" s="650"/>
      <c r="C54" s="120"/>
      <c r="D54" s="121"/>
      <c r="E54" s="122"/>
      <c r="F54" s="120"/>
      <c r="G54" s="120"/>
      <c r="H54" s="123"/>
      <c r="I54" s="123"/>
      <c r="J54" s="134"/>
      <c r="K54" s="135"/>
      <c r="M54" s="136"/>
      <c r="N54" s="136"/>
      <c r="O54" s="137"/>
      <c r="P54" s="138"/>
      <c r="Q54" s="137"/>
    </row>
    <row r="55" spans="1:17" ht="26.25" hidden="1" customHeight="1" x14ac:dyDescent="0.3">
      <c r="A55" s="650"/>
      <c r="B55" s="650"/>
      <c r="C55" s="139"/>
      <c r="D55" s="121"/>
      <c r="E55" s="122"/>
      <c r="F55" s="120"/>
      <c r="G55" s="120"/>
      <c r="H55" s="123"/>
      <c r="I55" s="123"/>
      <c r="J55" s="134"/>
      <c r="K55" s="135"/>
      <c r="M55" s="136"/>
      <c r="N55" s="136"/>
      <c r="O55" s="137"/>
      <c r="P55" s="138"/>
      <c r="Q55" s="137"/>
    </row>
    <row r="56" spans="1:17" ht="26.25" hidden="1" customHeight="1" x14ac:dyDescent="0.3">
      <c r="A56" s="650"/>
      <c r="B56" s="650"/>
      <c r="C56" s="120"/>
      <c r="D56" s="121"/>
      <c r="E56" s="122"/>
      <c r="F56" s="120"/>
      <c r="G56" s="120"/>
      <c r="H56" s="123"/>
      <c r="I56" s="123"/>
      <c r="J56" s="134"/>
      <c r="K56" s="135"/>
      <c r="M56" s="136"/>
      <c r="N56" s="136"/>
      <c r="O56" s="137"/>
      <c r="P56" s="138"/>
      <c r="Q56" s="137"/>
    </row>
    <row r="57" spans="1:17" ht="17.25" customHeight="1" x14ac:dyDescent="0.3">
      <c r="A57" s="654" t="s">
        <v>404</v>
      </c>
      <c r="B57" s="654"/>
      <c r="D57" s="121"/>
      <c r="E57" s="122"/>
      <c r="F57" s="120"/>
      <c r="G57" s="120"/>
      <c r="H57" s="123"/>
      <c r="I57" s="123"/>
      <c r="J57" s="134"/>
      <c r="M57" s="655"/>
      <c r="N57" s="655"/>
      <c r="P57" s="141"/>
      <c r="Q57" s="124"/>
    </row>
    <row r="58" spans="1:17" ht="20.25" customHeight="1" x14ac:dyDescent="0.3">
      <c r="A58" s="656" t="s">
        <v>405</v>
      </c>
      <c r="B58" s="656"/>
      <c r="C58" s="120">
        <f>J33</f>
        <v>3262.3</v>
      </c>
      <c r="D58" s="121"/>
      <c r="E58" s="122">
        <f>VLOOKUP(A58,TAUX2023,4,FALSE())</f>
        <v>3.4500000000000003E-2</v>
      </c>
      <c r="F58" s="120">
        <f>ROUND(C58*D58,2)</f>
        <v>0</v>
      </c>
      <c r="G58" s="120">
        <f>ROUND(C58*E58,2)</f>
        <v>112.55</v>
      </c>
      <c r="H58" s="123"/>
      <c r="I58" s="123"/>
      <c r="J58" s="134"/>
      <c r="M58" s="140"/>
      <c r="N58" s="140"/>
      <c r="P58" s="141"/>
      <c r="Q58" s="124"/>
    </row>
    <row r="59" spans="1:17" ht="26.25" hidden="1" customHeight="1" x14ac:dyDescent="0.3">
      <c r="A59" s="656" t="s">
        <v>406</v>
      </c>
      <c r="B59" s="656"/>
      <c r="C59" s="120">
        <f>IF(J33&gt;3.3*'TABLE DES TAUX 2025 '!D53*B10,J33,0)</f>
        <v>0</v>
      </c>
      <c r="D59" s="121"/>
      <c r="E59" s="122">
        <f>VLOOKUP(A59,TAUX2023,4,FALSE())</f>
        <v>1.7999999999999999E-2</v>
      </c>
      <c r="F59" s="120">
        <f>ROUND(C59*D59,2)</f>
        <v>0</v>
      </c>
      <c r="G59" s="120">
        <f>ROUND(C59*E59,2)</f>
        <v>0</v>
      </c>
      <c r="H59" s="123"/>
      <c r="I59" s="123"/>
      <c r="J59" s="134"/>
      <c r="M59" s="140"/>
      <c r="N59" s="140"/>
      <c r="P59" s="141"/>
      <c r="Q59" s="124"/>
    </row>
    <row r="60" spans="1:17" ht="15" customHeight="1" x14ac:dyDescent="0.3">
      <c r="A60" s="657" t="s">
        <v>407</v>
      </c>
      <c r="B60" s="657"/>
      <c r="C60" s="142"/>
      <c r="D60" s="121"/>
      <c r="E60" s="122"/>
      <c r="F60" s="120">
        <f>ROUND(C60*D60,2)</f>
        <v>0</v>
      </c>
      <c r="G60" s="120"/>
      <c r="H60" s="123"/>
      <c r="I60" s="123"/>
      <c r="J60" s="134"/>
      <c r="M60" s="655"/>
      <c r="N60" s="655"/>
    </row>
    <row r="61" spans="1:17" ht="16.5" customHeight="1" x14ac:dyDescent="0.3">
      <c r="A61" s="652" t="s">
        <v>408</v>
      </c>
      <c r="B61" s="652"/>
      <c r="C61" s="126">
        <f>IF(J33&gt;4*C33,4*C33,J33)</f>
        <v>3262.3</v>
      </c>
      <c r="D61" s="121"/>
      <c r="E61" s="122">
        <f>IF(H10&gt;=45778,4%,4.05%)+'TABLE DES TAUX 2025 '!E14</f>
        <v>4.2500000000000003E-2</v>
      </c>
      <c r="F61" s="120">
        <f>ROUND(C61*D61,2)</f>
        <v>0</v>
      </c>
      <c r="G61" s="120">
        <f>ROUND(C61*E61,2)</f>
        <v>138.65</v>
      </c>
      <c r="H61" s="123"/>
      <c r="I61" s="123"/>
      <c r="J61" s="134"/>
      <c r="M61" s="140"/>
      <c r="N61" s="140"/>
    </row>
    <row r="62" spans="1:17" ht="26.25" hidden="1" customHeight="1" x14ac:dyDescent="0.3">
      <c r="A62" s="652"/>
      <c r="B62" s="652"/>
      <c r="C62" s="126"/>
      <c r="D62" s="121"/>
      <c r="E62" s="122"/>
      <c r="F62" s="120"/>
      <c r="G62" s="120"/>
      <c r="H62" s="123"/>
      <c r="I62" s="123"/>
      <c r="M62" s="140"/>
      <c r="N62" s="140"/>
    </row>
    <row r="63" spans="1:17" ht="18" customHeight="1" x14ac:dyDescent="0.3">
      <c r="A63" s="653" t="s">
        <v>409</v>
      </c>
      <c r="B63" s="653"/>
      <c r="C63" s="126">
        <f>C61</f>
        <v>3262.3</v>
      </c>
      <c r="D63" s="143">
        <f>VLOOKUP(A63,TAUX2023,3,FALSE())</f>
        <v>2.4000000000000001E-4</v>
      </c>
      <c r="E63" s="144">
        <f>VLOOKUP(A63,TAUX2023,4,FALSE())</f>
        <v>3.6000000000000002E-4</v>
      </c>
      <c r="F63" s="120">
        <f>ROUND(C63*D63,2)</f>
        <v>0.78</v>
      </c>
      <c r="G63" s="120">
        <f>ROUND(C63*E63,2)</f>
        <v>1.17</v>
      </c>
      <c r="H63" s="123"/>
      <c r="I63" s="123"/>
      <c r="M63" s="140"/>
      <c r="N63" s="140"/>
    </row>
    <row r="64" spans="1:17" ht="12" customHeight="1" x14ac:dyDescent="0.3">
      <c r="A64" s="654" t="s">
        <v>410</v>
      </c>
      <c r="B64" s="654"/>
      <c r="C64" s="120"/>
      <c r="D64" s="143"/>
      <c r="E64" s="144"/>
      <c r="F64" s="120">
        <f>ROUND(C64*D64,2)</f>
        <v>0</v>
      </c>
      <c r="G64" s="120">
        <f>E120</f>
        <v>98.38</v>
      </c>
      <c r="H64" s="123"/>
      <c r="I64" s="123"/>
      <c r="M64" s="655"/>
      <c r="N64" s="655"/>
      <c r="O64" s="145"/>
    </row>
    <row r="65" spans="1:12" ht="26.25" hidden="1" customHeight="1" x14ac:dyDescent="0.3">
      <c r="A65" s="649" t="s">
        <v>411</v>
      </c>
      <c r="B65" s="649"/>
      <c r="C65" s="142"/>
      <c r="D65" s="121"/>
      <c r="E65" s="122"/>
      <c r="F65" s="120"/>
      <c r="G65" s="120"/>
      <c r="H65" s="123"/>
      <c r="I65" s="123"/>
    </row>
    <row r="66" spans="1:12" ht="21" customHeight="1" x14ac:dyDescent="0.3">
      <c r="A66" s="648" t="s">
        <v>412</v>
      </c>
      <c r="B66" s="648"/>
      <c r="C66" s="120">
        <f>'HEURES SUPPLEMENTAIRES '!F136</f>
        <v>3335.7097500000004</v>
      </c>
      <c r="D66" s="121">
        <f>VLOOKUP(A66,TAUX2023,3,FALSE())</f>
        <v>6.8000000000000005E-2</v>
      </c>
      <c r="E66" s="122"/>
      <c r="F66" s="120">
        <f>ROUND(C66*D66,2)</f>
        <v>226.83</v>
      </c>
      <c r="G66" s="120"/>
      <c r="H66" s="123"/>
      <c r="I66" s="123"/>
      <c r="J66" s="124"/>
    </row>
    <row r="67" spans="1:12" ht="21.75" customHeight="1" x14ac:dyDescent="0.3">
      <c r="A67" s="648" t="s">
        <v>413</v>
      </c>
      <c r="B67" s="648"/>
      <c r="C67" s="120">
        <f>C66</f>
        <v>3335.7097500000004</v>
      </c>
      <c r="D67" s="121">
        <f>VLOOKUP(A67,TAUX2023,3,FALSE())</f>
        <v>2.9000000000000001E-2</v>
      </c>
      <c r="E67" s="122"/>
      <c r="F67" s="120">
        <f>ROUND(C67*D67,2)</f>
        <v>96.74</v>
      </c>
      <c r="G67" s="120"/>
      <c r="H67" s="123"/>
      <c r="I67" s="123"/>
      <c r="J67" s="124"/>
      <c r="K67" s="124"/>
    </row>
    <row r="68" spans="1:12" ht="26.25" hidden="1" customHeight="1" x14ac:dyDescent="0.3">
      <c r="A68" s="648" t="s">
        <v>273</v>
      </c>
      <c r="B68" s="648"/>
      <c r="C68" s="120">
        <f>'BP FORMAT JUILLET 2023'!C68</f>
        <v>0</v>
      </c>
      <c r="D68" s="121">
        <f>+D66</f>
        <v>6.8000000000000005E-2</v>
      </c>
      <c r="E68" s="122"/>
      <c r="F68" s="120">
        <f>ROUND(C68*D68,2)</f>
        <v>0</v>
      </c>
      <c r="G68" s="120">
        <f>ROUND(C68*E68,2)</f>
        <v>0</v>
      </c>
      <c r="H68" s="127"/>
      <c r="J68" s="124"/>
      <c r="K68" s="124"/>
    </row>
    <row r="69" spans="1:12" ht="26.25" hidden="1" customHeight="1" x14ac:dyDescent="0.3">
      <c r="A69" s="648" t="s">
        <v>275</v>
      </c>
      <c r="B69" s="648"/>
      <c r="C69" s="120">
        <f>'BP FORMAT JUILLET 2023'!C69</f>
        <v>0</v>
      </c>
      <c r="D69" s="121">
        <f>+D68</f>
        <v>6.8000000000000005E-2</v>
      </c>
      <c r="E69" s="122"/>
      <c r="F69" s="120">
        <f>ROUND(C69*D69,2)</f>
        <v>0</v>
      </c>
      <c r="G69" s="120">
        <f>ROUND(C69*E69,2)</f>
        <v>0</v>
      </c>
      <c r="H69" s="127"/>
      <c r="J69" s="124"/>
      <c r="K69" s="124"/>
    </row>
    <row r="70" spans="1:12" ht="26.25" hidden="1" customHeight="1" x14ac:dyDescent="0.3">
      <c r="A70" s="648" t="s">
        <v>277</v>
      </c>
      <c r="B70" s="648"/>
      <c r="C70" s="120">
        <f>C68+C69</f>
        <v>0</v>
      </c>
      <c r="D70" s="121">
        <f>+D67</f>
        <v>2.9000000000000001E-2</v>
      </c>
      <c r="E70" s="122"/>
      <c r="F70" s="120">
        <f>ROUND(C70*D70,2)</f>
        <v>0</v>
      </c>
      <c r="G70" s="120">
        <f>ROUND(C70*E70,2)</f>
        <v>0</v>
      </c>
      <c r="H70" s="127"/>
      <c r="J70" s="124"/>
      <c r="K70" s="124"/>
    </row>
    <row r="71" spans="1:12" ht="27" customHeight="1" x14ac:dyDescent="0.3">
      <c r="A71" s="649" t="s">
        <v>414</v>
      </c>
      <c r="B71" s="649"/>
      <c r="C71" s="120"/>
      <c r="D71" s="121"/>
      <c r="E71" s="122"/>
      <c r="F71" s="120"/>
      <c r="G71" s="120">
        <f>-'RED. GEN. de COT. Janv'!J16-'HEURES SUPPLEMENTAIRES '!A145</f>
        <v>0</v>
      </c>
      <c r="H71" s="127"/>
      <c r="J71" s="124"/>
      <c r="K71" s="124"/>
    </row>
    <row r="72" spans="1:12" ht="26.25" hidden="1" customHeight="1" x14ac:dyDescent="0.3">
      <c r="A72" s="650" t="s">
        <v>278</v>
      </c>
      <c r="B72" s="650"/>
      <c r="C72" s="146">
        <f>'HEURES SUPPLEMENTAIRES '!F141</f>
        <v>0</v>
      </c>
      <c r="D72" s="121"/>
      <c r="E72" s="144">
        <f>'HEURES SUPPLEMENTAIRES '!D57</f>
        <v>0.11310000000000001</v>
      </c>
      <c r="F72" s="147">
        <f>-ROUND(C72*E72,2)</f>
        <v>0</v>
      </c>
      <c r="G72" s="139"/>
      <c r="H72" s="127"/>
      <c r="I72" s="124"/>
      <c r="J72" s="124"/>
      <c r="K72" s="124"/>
    </row>
    <row r="73" spans="1:12" ht="18" customHeight="1" x14ac:dyDescent="0.3">
      <c r="A73" s="650" t="s">
        <v>415</v>
      </c>
      <c r="B73" s="650"/>
      <c r="C73" s="120"/>
      <c r="D73" s="120"/>
      <c r="E73" s="120"/>
      <c r="F73" s="120">
        <f>SUM(F36:F72)</f>
        <v>758.56</v>
      </c>
      <c r="G73" s="120">
        <f>SUM(G36:G72)</f>
        <v>1299.4300000000003</v>
      </c>
      <c r="H73" s="148"/>
      <c r="I73" s="124"/>
    </row>
    <row r="74" spans="1:12" s="80" customFormat="1" ht="15" customHeight="1" x14ac:dyDescent="0.25">
      <c r="A74" s="651" t="s">
        <v>416</v>
      </c>
      <c r="B74" s="651"/>
      <c r="C74" s="149"/>
      <c r="D74" s="149"/>
      <c r="E74" s="150"/>
      <c r="F74" s="149">
        <v>98</v>
      </c>
      <c r="G74" s="150"/>
    </row>
    <row r="75" spans="1:12" s="80" customFormat="1" ht="22.5" customHeight="1" x14ac:dyDescent="0.25">
      <c r="A75" s="651" t="s">
        <v>417</v>
      </c>
      <c r="B75" s="651"/>
      <c r="C75" s="149"/>
      <c r="D75" s="149"/>
      <c r="E75" s="150"/>
      <c r="F75" s="120">
        <v>300</v>
      </c>
      <c r="G75" s="150"/>
    </row>
    <row r="76" spans="1:12" s="80" customFormat="1" ht="17.25" customHeight="1" x14ac:dyDescent="0.3">
      <c r="A76" s="651" t="s">
        <v>418</v>
      </c>
      <c r="B76" s="651"/>
      <c r="C76" s="149"/>
      <c r="D76" s="149"/>
      <c r="E76" s="150"/>
      <c r="F76" s="120">
        <f>'ENONCE 2025'!F88</f>
        <v>210</v>
      </c>
      <c r="G76" s="150"/>
      <c r="I76" s="151"/>
      <c r="J76" s="152"/>
      <c r="K76" s="151"/>
    </row>
    <row r="77" spans="1:12" ht="18.75" hidden="1" customHeight="1" x14ac:dyDescent="0.3">
      <c r="A77" s="650" t="s">
        <v>419</v>
      </c>
      <c r="B77" s="650"/>
      <c r="C77" s="149"/>
      <c r="D77" s="149"/>
      <c r="E77" s="150"/>
      <c r="F77" s="149"/>
      <c r="G77" s="150"/>
      <c r="I77" s="151"/>
      <c r="J77" s="152"/>
      <c r="K77" s="151"/>
    </row>
    <row r="78" spans="1:12" ht="18" customHeight="1" x14ac:dyDescent="0.3">
      <c r="A78" s="640" t="s">
        <v>420</v>
      </c>
      <c r="B78" s="640"/>
      <c r="C78" s="640"/>
      <c r="D78" s="640"/>
      <c r="E78" s="640"/>
      <c r="F78" s="640"/>
      <c r="G78" s="640"/>
      <c r="H78" s="640"/>
      <c r="I78" s="640"/>
      <c r="J78" s="641">
        <f>J33-F73+F75+F76+F74+F77-J32</f>
        <v>3049.44</v>
      </c>
      <c r="K78" s="641"/>
      <c r="L78" s="641"/>
    </row>
    <row r="79" spans="1:12" ht="5.25" customHeight="1" x14ac:dyDescent="0.3">
      <c r="A79" s="642" t="s">
        <v>421</v>
      </c>
      <c r="B79" s="642"/>
      <c r="C79" s="642"/>
      <c r="D79" s="642"/>
      <c r="E79" s="642"/>
      <c r="F79" s="642"/>
      <c r="G79" s="642"/>
      <c r="H79" s="642"/>
      <c r="I79" s="642"/>
      <c r="J79" s="643">
        <f>F127</f>
        <v>46.055384249999989</v>
      </c>
      <c r="K79" s="643"/>
      <c r="L79" s="643"/>
    </row>
    <row r="80" spans="1:12" ht="5.25" customHeight="1" x14ac:dyDescent="0.3">
      <c r="A80" s="642"/>
      <c r="B80" s="642"/>
      <c r="C80" s="642"/>
      <c r="D80" s="642"/>
      <c r="E80" s="642"/>
      <c r="F80" s="642"/>
      <c r="G80" s="642"/>
      <c r="H80" s="642"/>
      <c r="I80" s="642"/>
      <c r="J80" s="643"/>
      <c r="K80" s="643"/>
      <c r="L80" s="643"/>
    </row>
    <row r="81" spans="1:14" ht="5.25" customHeight="1" x14ac:dyDescent="0.3">
      <c r="A81" s="642"/>
      <c r="B81" s="642"/>
      <c r="C81" s="642"/>
      <c r="D81" s="642"/>
      <c r="E81" s="642"/>
      <c r="F81" s="642"/>
      <c r="G81" s="642"/>
      <c r="H81" s="642"/>
      <c r="I81" s="642"/>
      <c r="J81" s="643"/>
      <c r="K81" s="643"/>
      <c r="L81" s="643"/>
    </row>
    <row r="82" spans="1:14" ht="20.25" customHeight="1" x14ac:dyDescent="0.3">
      <c r="A82" s="644" t="s">
        <v>422</v>
      </c>
      <c r="B82" s="644"/>
      <c r="C82" s="644"/>
      <c r="D82" s="645" t="s">
        <v>212</v>
      </c>
      <c r="E82" s="645"/>
      <c r="F82" s="645" t="s">
        <v>423</v>
      </c>
      <c r="G82" s="645"/>
      <c r="H82" s="153" t="s">
        <v>424</v>
      </c>
      <c r="I82" s="154"/>
      <c r="J82" s="154"/>
      <c r="K82" s="154"/>
      <c r="L82" s="154"/>
    </row>
    <row r="83" spans="1:14" ht="14.4" x14ac:dyDescent="0.3">
      <c r="A83" s="644"/>
      <c r="B83" s="644"/>
      <c r="C83" s="644"/>
      <c r="D83" s="646">
        <f>J87</f>
        <v>2665.73</v>
      </c>
      <c r="E83" s="646"/>
      <c r="F83" s="647">
        <f>+'TAUX NEUTRE '!H12</f>
        <v>5.2999999999999999E-2</v>
      </c>
      <c r="G83" s="647"/>
      <c r="H83" s="155">
        <f>ROUND(D83*F83,2)</f>
        <v>141.28</v>
      </c>
      <c r="I83" s="154"/>
      <c r="J83" s="154"/>
      <c r="K83" s="154"/>
      <c r="L83" s="154"/>
    </row>
    <row r="84" spans="1:14" ht="14.4" x14ac:dyDescent="0.3">
      <c r="A84" s="635" t="s">
        <v>425</v>
      </c>
      <c r="B84" s="635"/>
      <c r="C84" s="635"/>
      <c r="D84" s="635"/>
      <c r="E84" s="635"/>
      <c r="F84" s="635"/>
      <c r="G84" s="635"/>
      <c r="H84" s="635"/>
      <c r="I84" s="635"/>
      <c r="J84" s="636">
        <f>G73+J33</f>
        <v>4561.7300000000005</v>
      </c>
      <c r="K84" s="636"/>
      <c r="L84" s="636"/>
    </row>
    <row r="85" spans="1:14" ht="14.4" x14ac:dyDescent="0.3">
      <c r="A85" s="635" t="s">
        <v>426</v>
      </c>
      <c r="B85" s="635"/>
      <c r="C85" s="635"/>
      <c r="D85" s="635"/>
      <c r="E85" s="635"/>
      <c r="F85" s="635"/>
      <c r="G85" s="635"/>
      <c r="H85" s="635"/>
      <c r="I85" s="635"/>
      <c r="J85" s="637">
        <f>-G71+IF(C59=0,J33*1.8%,0) +IF(C37=0,J33*6%,0)</f>
        <v>254.45940000000002</v>
      </c>
      <c r="K85" s="637"/>
      <c r="L85" s="637"/>
    </row>
    <row r="86" spans="1:14" ht="14.4" x14ac:dyDescent="0.3">
      <c r="A86" s="635" t="s">
        <v>427</v>
      </c>
      <c r="B86" s="635"/>
      <c r="C86" s="635"/>
      <c r="D86" s="635"/>
      <c r="E86" s="635"/>
      <c r="F86" s="635"/>
      <c r="G86" s="635"/>
      <c r="H86" s="635"/>
      <c r="I86" s="635"/>
      <c r="J86" s="636">
        <f>J78-H83</f>
        <v>2908.16</v>
      </c>
      <c r="K86" s="636"/>
      <c r="L86" s="636"/>
    </row>
    <row r="87" spans="1:14" ht="14.4" x14ac:dyDescent="0.3">
      <c r="A87" s="635" t="s">
        <v>86</v>
      </c>
      <c r="B87" s="635"/>
      <c r="C87" s="635"/>
      <c r="D87" s="635"/>
      <c r="E87" s="635"/>
      <c r="F87" s="635"/>
      <c r="G87" s="635"/>
      <c r="H87" s="635"/>
      <c r="I87" s="635"/>
      <c r="J87" s="638">
        <f>'HEURES SUPPLEMENTAIRES '!E100</f>
        <v>2665.73</v>
      </c>
      <c r="K87" s="638"/>
      <c r="L87" s="638"/>
      <c r="N87" s="124"/>
    </row>
    <row r="88" spans="1:14" ht="14.25" customHeight="1" x14ac:dyDescent="0.3">
      <c r="A88" s="156"/>
      <c r="B88" s="157" t="s">
        <v>428</v>
      </c>
      <c r="C88" s="157" t="s">
        <v>429</v>
      </c>
      <c r="D88" s="639" t="s">
        <v>430</v>
      </c>
      <c r="E88" s="639"/>
      <c r="F88" s="639" t="s">
        <v>431</v>
      </c>
      <c r="G88" s="639"/>
      <c r="H88" s="158"/>
      <c r="I88" s="158"/>
      <c r="J88" s="159"/>
      <c r="K88" s="160"/>
      <c r="L88" s="160"/>
    </row>
    <row r="89" spans="1:14" ht="21" customHeight="1" x14ac:dyDescent="0.3">
      <c r="A89" s="161" t="s">
        <v>432</v>
      </c>
      <c r="B89" s="162">
        <f>H83</f>
        <v>141.28</v>
      </c>
      <c r="C89" s="162"/>
      <c r="D89" s="163" t="s">
        <v>433</v>
      </c>
      <c r="E89" s="162"/>
      <c r="F89" s="163" t="s">
        <v>434</v>
      </c>
      <c r="G89" s="162"/>
      <c r="H89" s="164"/>
      <c r="I89" s="158"/>
      <c r="J89" s="159"/>
      <c r="K89" s="160"/>
      <c r="L89" s="160"/>
    </row>
    <row r="90" spans="1:14" ht="21" customHeight="1" x14ac:dyDescent="0.3">
      <c r="A90" s="165" t="s">
        <v>435</v>
      </c>
      <c r="B90" s="166">
        <f>C72</f>
        <v>0</v>
      </c>
      <c r="C90" s="162"/>
      <c r="D90" s="163" t="s">
        <v>436</v>
      </c>
      <c r="E90" s="162"/>
      <c r="F90" s="163" t="s">
        <v>437</v>
      </c>
      <c r="G90" s="162"/>
      <c r="H90" s="158"/>
      <c r="I90" s="158"/>
      <c r="J90" s="159"/>
      <c r="K90" s="160"/>
      <c r="L90" s="160"/>
    </row>
    <row r="91" spans="1:14" ht="17.25" customHeight="1" x14ac:dyDescent="0.3">
      <c r="A91" s="167" t="s">
        <v>438</v>
      </c>
      <c r="B91" s="166">
        <f>J33</f>
        <v>3262.3</v>
      </c>
      <c r="C91" s="162"/>
      <c r="D91" s="163" t="s">
        <v>439</v>
      </c>
      <c r="E91" s="162"/>
      <c r="F91" s="163" t="s">
        <v>439</v>
      </c>
      <c r="G91" s="162"/>
      <c r="H91" s="158"/>
      <c r="I91" s="158"/>
      <c r="J91" s="159"/>
      <c r="K91" s="160"/>
      <c r="L91" s="160"/>
    </row>
    <row r="92" spans="1:14" ht="17.25" customHeight="1" x14ac:dyDescent="0.3">
      <c r="A92" s="167" t="s">
        <v>86</v>
      </c>
      <c r="B92" s="166">
        <f>J87</f>
        <v>2665.73</v>
      </c>
      <c r="C92" s="162"/>
      <c r="D92" s="168"/>
      <c r="E92" s="168"/>
      <c r="F92" s="168"/>
      <c r="G92" s="168"/>
      <c r="H92" s="158"/>
      <c r="I92" s="158"/>
      <c r="J92" s="159"/>
      <c r="K92" s="160"/>
      <c r="L92" s="160"/>
    </row>
    <row r="93" spans="1:14" ht="15" customHeight="1" x14ac:dyDescent="0.3">
      <c r="A93" s="632" t="s">
        <v>440</v>
      </c>
      <c r="B93" s="632"/>
      <c r="C93" s="632"/>
      <c r="D93" s="632"/>
      <c r="E93" s="632"/>
      <c r="F93" s="154"/>
      <c r="G93" s="154"/>
      <c r="H93" s="154"/>
      <c r="I93" s="154"/>
      <c r="J93" s="154"/>
      <c r="K93" s="154"/>
      <c r="L93" s="154"/>
    </row>
    <row r="94" spans="1:14" s="154" customFormat="1" ht="12" customHeight="1" x14ac:dyDescent="0.2">
      <c r="A94" s="169" t="s">
        <v>441</v>
      </c>
    </row>
    <row r="95" spans="1:14" ht="14.4" x14ac:dyDescent="0.3">
      <c r="A95" s="154"/>
      <c r="B95" s="154"/>
      <c r="C95" s="154"/>
      <c r="D95" s="154"/>
      <c r="E95" s="154"/>
      <c r="F95" s="154"/>
      <c r="G95" s="154"/>
      <c r="H95" s="154"/>
      <c r="I95" s="154"/>
      <c r="J95" s="154"/>
      <c r="K95" s="154"/>
      <c r="L95" s="154"/>
    </row>
    <row r="96" spans="1:14" ht="14.4" x14ac:dyDescent="0.3">
      <c r="A96" s="154"/>
      <c r="B96" s="154"/>
      <c r="C96" s="154"/>
      <c r="D96" s="154"/>
      <c r="E96" s="154"/>
      <c r="F96" s="154"/>
      <c r="G96" s="154"/>
      <c r="H96" s="154"/>
      <c r="I96" s="154"/>
      <c r="J96" s="154"/>
      <c r="K96" s="154"/>
      <c r="L96" s="154"/>
    </row>
    <row r="97" spans="1:18" ht="14.4" x14ac:dyDescent="0.3">
      <c r="A97" s="154"/>
      <c r="B97" s="154"/>
      <c r="C97" s="154"/>
      <c r="D97" s="154"/>
      <c r="E97" s="154"/>
      <c r="F97" s="154"/>
      <c r="G97" s="154"/>
      <c r="H97" s="154"/>
      <c r="I97" s="154"/>
      <c r="J97" s="154"/>
      <c r="K97" s="154"/>
      <c r="L97" s="154"/>
    </row>
    <row r="98" spans="1:18" ht="14.4" x14ac:dyDescent="0.3">
      <c r="A98" s="154"/>
      <c r="B98" s="154"/>
      <c r="C98" s="154"/>
      <c r="D98" s="154"/>
      <c r="E98" s="154"/>
      <c r="F98" s="154"/>
      <c r="G98" s="154"/>
      <c r="H98" s="154"/>
      <c r="I98" s="154"/>
      <c r="J98" s="154"/>
      <c r="K98" s="154"/>
      <c r="L98" s="154"/>
    </row>
    <row r="99" spans="1:18" ht="14.4" x14ac:dyDescent="0.3">
      <c r="A99" s="154"/>
      <c r="B99" s="154"/>
      <c r="C99" s="154"/>
      <c r="D99" s="154"/>
      <c r="E99" s="154"/>
      <c r="F99" s="154"/>
      <c r="G99" s="154"/>
      <c r="H99" s="154"/>
      <c r="I99" s="154"/>
      <c r="J99" s="154"/>
      <c r="K99" s="154"/>
      <c r="L99" s="154"/>
    </row>
    <row r="100" spans="1:18" ht="14.4" x14ac:dyDescent="0.3">
      <c r="A100" s="154"/>
      <c r="B100" s="154"/>
      <c r="C100" s="154"/>
      <c r="D100" s="154"/>
      <c r="E100" s="154"/>
      <c r="F100" s="154"/>
      <c r="G100" s="154"/>
      <c r="H100" s="154"/>
      <c r="I100" s="154"/>
      <c r="J100" s="154"/>
      <c r="K100" s="154"/>
      <c r="L100" s="154"/>
    </row>
    <row r="101" spans="1:18" ht="14.4" x14ac:dyDescent="0.3">
      <c r="A101" s="154"/>
      <c r="B101" s="154"/>
      <c r="C101" s="154"/>
      <c r="D101" s="154"/>
      <c r="E101" s="154"/>
      <c r="F101" s="154"/>
      <c r="G101" s="154"/>
      <c r="H101" s="154"/>
      <c r="I101" s="154"/>
      <c r="J101" s="154"/>
      <c r="K101" s="154"/>
      <c r="L101" s="154"/>
    </row>
    <row r="102" spans="1:18" ht="14.4" x14ac:dyDescent="0.3">
      <c r="A102" s="154"/>
      <c r="B102" s="154"/>
      <c r="C102" s="154"/>
      <c r="D102" s="154"/>
      <c r="E102" s="154"/>
      <c r="F102" s="154"/>
      <c r="G102" s="154"/>
      <c r="H102" s="154"/>
      <c r="I102" s="154"/>
      <c r="J102" s="154"/>
      <c r="K102" s="154"/>
      <c r="L102" s="154"/>
    </row>
    <row r="103" spans="1:18" ht="14.4" x14ac:dyDescent="0.3">
      <c r="A103" s="154"/>
      <c r="B103" s="154"/>
      <c r="C103" s="154"/>
      <c r="D103" s="154"/>
      <c r="E103" s="154"/>
      <c r="F103" s="154"/>
      <c r="G103" s="154"/>
      <c r="H103" s="154"/>
      <c r="I103" s="154"/>
      <c r="J103" s="154"/>
      <c r="K103" s="154"/>
      <c r="L103" s="154"/>
    </row>
    <row r="104" spans="1:18" ht="14.4" x14ac:dyDescent="0.3">
      <c r="A104" s="154"/>
      <c r="B104" s="154"/>
      <c r="C104" s="154"/>
      <c r="D104" s="154"/>
      <c r="E104" s="154"/>
      <c r="F104" s="154"/>
      <c r="G104" s="154"/>
      <c r="H104" s="154"/>
      <c r="I104" s="154"/>
      <c r="J104" s="154"/>
      <c r="K104" s="154"/>
      <c r="L104" s="154"/>
    </row>
    <row r="105" spans="1:18" ht="14.4" x14ac:dyDescent="0.3">
      <c r="A105" s="154"/>
      <c r="B105" s="154"/>
      <c r="C105" s="154"/>
      <c r="D105" s="154"/>
      <c r="E105" s="154"/>
      <c r="F105" s="154"/>
      <c r="G105" s="154"/>
      <c r="H105" s="154"/>
      <c r="I105" s="154"/>
      <c r="J105" s="154"/>
      <c r="K105" s="154"/>
      <c r="L105" s="154"/>
    </row>
    <row r="106" spans="1:18" ht="15.6" x14ac:dyDescent="0.3">
      <c r="A106" s="23"/>
      <c r="B106" s="23"/>
      <c r="C106" s="23"/>
      <c r="D106" s="23"/>
      <c r="E106" s="23"/>
      <c r="F106" s="23"/>
      <c r="G106" s="23"/>
      <c r="H106" s="23"/>
      <c r="I106" s="23"/>
      <c r="J106" s="23"/>
      <c r="K106" s="23"/>
      <c r="L106" s="23"/>
      <c r="M106" s="10"/>
      <c r="N106" s="10"/>
      <c r="O106" s="10"/>
      <c r="P106" s="10"/>
      <c r="Q106" s="10"/>
      <c r="R106" s="10"/>
    </row>
    <row r="107" spans="1:18" ht="15.6" x14ac:dyDescent="0.3">
      <c r="A107" s="23" t="s">
        <v>442</v>
      </c>
      <c r="B107" s="23"/>
      <c r="C107" s="23"/>
      <c r="D107" s="23"/>
      <c r="E107" s="23"/>
      <c r="F107" s="23"/>
      <c r="G107" s="23"/>
      <c r="H107" s="23"/>
      <c r="I107" s="23"/>
      <c r="J107" s="23"/>
      <c r="K107" s="23"/>
      <c r="L107" s="23"/>
      <c r="M107" s="10"/>
      <c r="N107" s="10"/>
      <c r="O107" s="10"/>
      <c r="P107" s="10"/>
      <c r="Q107" s="10"/>
      <c r="R107" s="10"/>
    </row>
    <row r="108" spans="1:18" ht="15.6" x14ac:dyDescent="0.3">
      <c r="A108" s="23"/>
      <c r="C108" s="34" t="s">
        <v>385</v>
      </c>
      <c r="D108" s="34" t="s">
        <v>269</v>
      </c>
      <c r="E108" s="34" t="s">
        <v>443</v>
      </c>
      <c r="H108" s="23"/>
      <c r="I108" s="23"/>
      <c r="J108" s="23"/>
      <c r="K108" s="23"/>
      <c r="L108" s="23"/>
      <c r="M108" s="10"/>
      <c r="N108" s="10"/>
      <c r="O108" s="10"/>
      <c r="P108" s="10"/>
      <c r="Q108" s="10"/>
      <c r="R108" s="10"/>
    </row>
    <row r="109" spans="1:18" ht="15.6" x14ac:dyDescent="0.3">
      <c r="A109" s="633" t="s">
        <v>444</v>
      </c>
      <c r="B109" s="633"/>
      <c r="C109" s="170">
        <f>IF(B9&lt;50,IF(J33&gt;C33,C33,J33),0)</f>
        <v>3262.3</v>
      </c>
      <c r="D109" s="171">
        <f>'TABLE DES TAUX 2025 '!E26</f>
        <v>1E-3</v>
      </c>
      <c r="E109" s="170">
        <f t="shared" ref="E109:E119" si="2">ROUND(C109*D109,2)</f>
        <v>3.26</v>
      </c>
      <c r="H109" s="23"/>
      <c r="I109" s="23"/>
      <c r="J109" s="23"/>
      <c r="K109" s="23"/>
      <c r="L109" s="23"/>
      <c r="M109" s="10"/>
      <c r="N109" s="10"/>
      <c r="O109" s="10"/>
      <c r="P109" s="10"/>
      <c r="Q109" s="10"/>
      <c r="R109" s="10"/>
    </row>
    <row r="110" spans="1:18" ht="15.6" x14ac:dyDescent="0.3">
      <c r="A110" s="633" t="s">
        <v>445</v>
      </c>
      <c r="B110" s="633"/>
      <c r="C110" s="170">
        <f>IF(B9&gt;=50,J33,0)</f>
        <v>0</v>
      </c>
      <c r="D110" s="171">
        <f>+'TABLE DES TAUX 2025 '!E27</f>
        <v>5.0000000000000001E-3</v>
      </c>
      <c r="E110" s="170">
        <f t="shared" si="2"/>
        <v>0</v>
      </c>
      <c r="H110" s="23"/>
      <c r="I110" s="23"/>
      <c r="J110" s="23"/>
      <c r="K110" s="23"/>
      <c r="L110" s="23"/>
      <c r="M110" s="10"/>
      <c r="N110" s="10"/>
      <c r="O110" s="10"/>
      <c r="P110" s="10"/>
      <c r="Q110" s="10"/>
      <c r="R110" s="10"/>
    </row>
    <row r="111" spans="1:18" ht="15.6" x14ac:dyDescent="0.3">
      <c r="A111" s="633" t="s">
        <v>446</v>
      </c>
      <c r="B111" s="633"/>
      <c r="C111" s="170">
        <f>IF(B9&gt;=11,J33,0)</f>
        <v>3262.3</v>
      </c>
      <c r="D111" s="171">
        <f>'Masque de Saisie'!H24</f>
        <v>6.0000000000000001E-3</v>
      </c>
      <c r="E111" s="170">
        <f t="shared" si="2"/>
        <v>19.57</v>
      </c>
      <c r="H111" s="23"/>
      <c r="I111" s="23"/>
      <c r="J111" s="23"/>
      <c r="K111" s="23"/>
      <c r="L111" s="23"/>
      <c r="M111" s="10"/>
      <c r="N111" s="10"/>
      <c r="O111" s="10"/>
      <c r="P111" s="10"/>
      <c r="Q111" s="10"/>
      <c r="R111" s="10"/>
    </row>
    <row r="112" spans="1:18" ht="15.6" x14ac:dyDescent="0.3">
      <c r="A112" s="627" t="s">
        <v>447</v>
      </c>
      <c r="B112" s="627"/>
      <c r="C112" s="170">
        <f>J33</f>
        <v>3262.3</v>
      </c>
      <c r="D112" s="171">
        <f>'TABLE DES TAUX 2025 '!E29</f>
        <v>3.0000000000000001E-3</v>
      </c>
      <c r="E112" s="170">
        <f t="shared" si="2"/>
        <v>9.7899999999999991</v>
      </c>
      <c r="H112" s="23"/>
      <c r="I112" s="23"/>
      <c r="J112" s="23"/>
      <c r="K112" s="23"/>
      <c r="L112" s="23"/>
      <c r="M112" s="10"/>
      <c r="N112" s="10"/>
      <c r="O112" s="10"/>
      <c r="P112" s="10"/>
      <c r="Q112" s="10"/>
      <c r="R112" s="10"/>
    </row>
    <row r="113" spans="1:18" ht="15.6" x14ac:dyDescent="0.3">
      <c r="A113" s="633" t="s">
        <v>448</v>
      </c>
      <c r="B113" s="633"/>
      <c r="C113" s="170">
        <f>IF(B9&gt;=11, IF(I9=2,G38+G41+G42,G39+G40),0)</f>
        <v>130.5</v>
      </c>
      <c r="D113" s="171">
        <f>'TABLE DES TAUX 2025 '!E30</f>
        <v>0.08</v>
      </c>
      <c r="E113" s="170">
        <f t="shared" si="2"/>
        <v>10.44</v>
      </c>
      <c r="H113" s="10"/>
      <c r="I113" s="10"/>
      <c r="J113" s="10"/>
      <c r="K113" s="10"/>
      <c r="L113" s="10"/>
      <c r="M113" s="10"/>
      <c r="N113" s="10"/>
      <c r="O113" s="10"/>
      <c r="P113" s="10"/>
      <c r="Q113" s="10"/>
      <c r="R113" s="10"/>
    </row>
    <row r="114" spans="1:18" ht="15.6" x14ac:dyDescent="0.3">
      <c r="A114" s="634" t="s">
        <v>449</v>
      </c>
      <c r="B114" s="634"/>
      <c r="C114" s="170">
        <f>G43</f>
        <v>0</v>
      </c>
      <c r="D114" s="171">
        <f>'TABLE DES TAUX 2025 '!E31</f>
        <v>0.2</v>
      </c>
      <c r="E114" s="170">
        <f t="shared" si="2"/>
        <v>0</v>
      </c>
      <c r="H114" s="10"/>
      <c r="I114" s="10"/>
      <c r="J114" s="10"/>
      <c r="K114" s="10"/>
      <c r="L114" s="10"/>
      <c r="M114" s="10"/>
      <c r="N114" s="10"/>
      <c r="O114" s="10"/>
      <c r="P114" s="10"/>
      <c r="Q114" s="10"/>
      <c r="R114" s="10"/>
    </row>
    <row r="115" spans="1:18" ht="16.5" customHeight="1" x14ac:dyDescent="0.3">
      <c r="A115" s="627" t="s">
        <v>450</v>
      </c>
      <c r="B115" s="627"/>
      <c r="C115" s="170">
        <f>+J33</f>
        <v>3262.3</v>
      </c>
      <c r="D115" s="171">
        <f>'TABLE DES TAUX 2025 '!E32</f>
        <v>1.6000000000000001E-4</v>
      </c>
      <c r="E115" s="170">
        <f t="shared" si="2"/>
        <v>0.52</v>
      </c>
      <c r="H115" s="10"/>
      <c r="I115" s="10"/>
      <c r="J115" s="10"/>
      <c r="K115" s="10"/>
      <c r="L115" s="10"/>
      <c r="M115" s="10"/>
      <c r="N115" s="10"/>
      <c r="O115" s="10"/>
      <c r="P115" s="10"/>
      <c r="Q115" s="10"/>
      <c r="R115" s="10"/>
    </row>
    <row r="116" spans="1:18" ht="15.6" x14ac:dyDescent="0.3">
      <c r="A116" s="627" t="s">
        <v>451</v>
      </c>
      <c r="B116" s="627"/>
      <c r="C116" s="170">
        <f>C115</f>
        <v>3262.3</v>
      </c>
      <c r="D116" s="171">
        <f>'TABLE DES TAUX 2025 '!E33</f>
        <v>6.7999999999999996E-3</v>
      </c>
      <c r="E116" s="170">
        <f t="shared" si="2"/>
        <v>22.18</v>
      </c>
      <c r="H116" s="10"/>
      <c r="I116" s="10"/>
      <c r="J116" s="10"/>
      <c r="K116" s="10"/>
      <c r="L116" s="10"/>
      <c r="M116" s="10"/>
      <c r="N116" s="10"/>
      <c r="O116" s="10"/>
      <c r="P116" s="10"/>
      <c r="Q116" s="10"/>
      <c r="R116" s="10"/>
    </row>
    <row r="117" spans="1:18" ht="15.6" x14ac:dyDescent="0.3">
      <c r="A117" s="627" t="s">
        <v>452</v>
      </c>
      <c r="B117" s="627"/>
      <c r="C117" s="170">
        <f>IF(B9&lt;11,0,J33)</f>
        <v>3262.3</v>
      </c>
      <c r="D117" s="171">
        <f>'TABLE DES TAUX 2025 '!E34</f>
        <v>0.01</v>
      </c>
      <c r="E117" s="170">
        <f t="shared" si="2"/>
        <v>32.619999999999997</v>
      </c>
      <c r="H117" s="10"/>
      <c r="I117" s="10"/>
      <c r="J117" s="10"/>
      <c r="K117" s="10"/>
      <c r="L117" s="10"/>
      <c r="M117" s="10"/>
      <c r="N117" s="10"/>
      <c r="O117" s="10"/>
      <c r="P117" s="10"/>
      <c r="Q117" s="10"/>
      <c r="R117" s="10"/>
    </row>
    <row r="118" spans="1:18" ht="15.6" x14ac:dyDescent="0.3">
      <c r="A118" s="627" t="s">
        <v>452</v>
      </c>
      <c r="B118" s="627"/>
      <c r="C118" s="170">
        <f>IF(B9&gt;=11,0,J33)</f>
        <v>0</v>
      </c>
      <c r="D118" s="171">
        <f>'TABLE DES TAUX 2025 '!E35</f>
        <v>5.4999999999999997E-3</v>
      </c>
      <c r="E118" s="170">
        <f t="shared" si="2"/>
        <v>0</v>
      </c>
      <c r="H118" s="10"/>
      <c r="I118" s="10"/>
      <c r="J118" s="10"/>
      <c r="K118" s="10"/>
      <c r="L118" s="10"/>
      <c r="M118" s="10"/>
      <c r="N118" s="10"/>
      <c r="O118" s="10"/>
      <c r="P118" s="10"/>
      <c r="Q118" s="10"/>
      <c r="R118" s="10"/>
    </row>
    <row r="119" spans="1:18" ht="15.6" x14ac:dyDescent="0.3">
      <c r="A119" s="627" t="s">
        <v>453</v>
      </c>
      <c r="B119" s="627"/>
      <c r="C119" s="170">
        <f>IF(B9&lt;50,0,J33)</f>
        <v>0</v>
      </c>
      <c r="D119" s="171">
        <f>'TABLE DES TAUX 2025 '!E36</f>
        <v>4.4999999999999997E-3</v>
      </c>
      <c r="E119" s="170">
        <f t="shared" si="2"/>
        <v>0</v>
      </c>
      <c r="H119" s="10"/>
      <c r="I119" s="10"/>
      <c r="J119" s="10"/>
      <c r="K119" s="10"/>
      <c r="L119" s="10"/>
      <c r="M119" s="10"/>
      <c r="N119" s="10"/>
      <c r="O119" s="10"/>
      <c r="P119" s="10"/>
      <c r="Q119" s="10"/>
      <c r="R119" s="10"/>
    </row>
    <row r="120" spans="1:18" ht="15.6" x14ac:dyDescent="0.3">
      <c r="A120" s="10"/>
      <c r="B120" s="10"/>
      <c r="D120" s="10"/>
      <c r="E120" s="172">
        <f>SUM(E109:E119)</f>
        <v>98.38</v>
      </c>
      <c r="F120" s="10"/>
      <c r="G120" s="10"/>
      <c r="H120" s="10"/>
      <c r="I120" s="10"/>
      <c r="J120" s="10"/>
      <c r="K120" s="10"/>
      <c r="L120" s="10"/>
      <c r="M120" s="10"/>
      <c r="N120" s="10"/>
      <c r="O120" s="10"/>
      <c r="P120" s="10"/>
      <c r="Q120" s="10"/>
      <c r="R120" s="10"/>
    </row>
    <row r="121" spans="1:18" ht="15.6" x14ac:dyDescent="0.3">
      <c r="A121" s="10"/>
      <c r="B121" s="10"/>
      <c r="C121" s="10"/>
      <c r="D121" s="10"/>
      <c r="E121" s="10"/>
      <c r="F121" s="10"/>
      <c r="G121" s="10"/>
      <c r="H121" s="10"/>
      <c r="I121" s="10"/>
      <c r="J121" s="10"/>
      <c r="K121" s="10"/>
      <c r="L121" s="10"/>
      <c r="M121" s="10"/>
      <c r="N121" s="10"/>
      <c r="O121" s="10"/>
      <c r="P121" s="10"/>
      <c r="Q121" s="10"/>
      <c r="R121" s="10"/>
    </row>
    <row r="122" spans="1:18" ht="15.6" x14ac:dyDescent="0.3">
      <c r="A122" s="80"/>
      <c r="B122" s="80"/>
      <c r="C122" s="80"/>
      <c r="D122" s="80"/>
      <c r="E122" s="80"/>
      <c r="F122" s="80"/>
      <c r="G122" s="80"/>
      <c r="H122" s="10"/>
      <c r="I122" s="10"/>
      <c r="J122" s="10"/>
      <c r="K122" s="10"/>
      <c r="L122" s="10"/>
      <c r="M122" s="10"/>
      <c r="N122" s="10"/>
      <c r="O122" s="10"/>
      <c r="P122" s="10"/>
      <c r="Q122" s="10"/>
      <c r="R122" s="10"/>
    </row>
    <row r="123" spans="1:18" ht="24.75" customHeight="1" x14ac:dyDescent="0.3">
      <c r="A123" s="80"/>
      <c r="B123" s="80"/>
      <c r="C123" s="80"/>
      <c r="D123" s="80"/>
      <c r="E123" s="80"/>
      <c r="F123" s="80"/>
      <c r="G123" s="80"/>
      <c r="H123" s="10"/>
      <c r="I123" s="10"/>
      <c r="J123" s="10"/>
      <c r="K123" s="10"/>
      <c r="L123" s="10"/>
      <c r="M123" s="10"/>
      <c r="N123" s="10"/>
      <c r="O123" s="10"/>
      <c r="P123" s="10"/>
      <c r="Q123" s="10"/>
      <c r="R123" s="10"/>
    </row>
    <row r="124" spans="1:18" ht="36" customHeight="1" x14ac:dyDescent="0.3">
      <c r="A124" s="628" t="s">
        <v>454</v>
      </c>
      <c r="B124" s="628"/>
      <c r="C124" s="173">
        <v>7.4999999999999997E-3</v>
      </c>
      <c r="D124" s="174">
        <f>C36*C124</f>
        <v>24.46725</v>
      </c>
      <c r="E124" s="80"/>
      <c r="F124" s="80"/>
      <c r="G124" s="80"/>
      <c r="H124" s="10"/>
      <c r="I124" s="10"/>
      <c r="J124" s="10"/>
      <c r="K124" s="10"/>
      <c r="L124" s="10"/>
      <c r="M124" s="10"/>
      <c r="N124" s="10"/>
      <c r="O124" s="10"/>
      <c r="P124" s="10"/>
      <c r="Q124" s="10"/>
      <c r="R124" s="10"/>
    </row>
    <row r="125" spans="1:18" ht="35.25" customHeight="1" x14ac:dyDescent="0.3">
      <c r="A125" s="629" t="s">
        <v>455</v>
      </c>
      <c r="B125" s="629"/>
      <c r="C125" s="173">
        <v>2.4E-2</v>
      </c>
      <c r="D125" s="174">
        <f>C61*C125</f>
        <v>78.295200000000008</v>
      </c>
      <c r="E125" s="80"/>
      <c r="F125" s="80"/>
      <c r="G125" s="80"/>
      <c r="H125" s="10"/>
      <c r="I125" s="10"/>
      <c r="J125" s="10"/>
      <c r="K125" s="10"/>
      <c r="L125" s="10"/>
      <c r="M125" s="10"/>
      <c r="N125" s="10"/>
      <c r="O125" s="10"/>
      <c r="P125" s="10"/>
      <c r="Q125" s="10"/>
      <c r="R125" s="10"/>
    </row>
    <row r="126" spans="1:18" ht="22.5" hidden="1" customHeight="1" x14ac:dyDescent="0.3">
      <c r="A126" s="80"/>
      <c r="B126" s="80"/>
      <c r="C126" s="80"/>
      <c r="D126" s="80"/>
      <c r="E126" s="80"/>
      <c r="F126" s="80"/>
      <c r="G126" s="80"/>
      <c r="H126" s="10"/>
      <c r="I126" s="10"/>
      <c r="J126" s="10"/>
      <c r="K126" s="10"/>
      <c r="L126" s="10"/>
      <c r="M126" s="10"/>
      <c r="N126" s="10"/>
      <c r="O126" s="10"/>
      <c r="P126" s="10"/>
      <c r="Q126" s="10"/>
      <c r="R126" s="10"/>
    </row>
    <row r="127" spans="1:18" ht="22.5" customHeight="1" x14ac:dyDescent="0.3">
      <c r="A127" s="630" t="s">
        <v>456</v>
      </c>
      <c r="B127" s="630"/>
      <c r="C127" s="630"/>
      <c r="D127" s="630"/>
      <c r="E127" s="175" t="s">
        <v>457</v>
      </c>
      <c r="F127" s="176">
        <f>D124+D125-D129</f>
        <v>46.055384249999989</v>
      </c>
      <c r="G127" s="80"/>
      <c r="H127" s="10"/>
      <c r="I127" s="10"/>
      <c r="J127" s="10"/>
      <c r="K127" s="10"/>
      <c r="L127" s="10"/>
      <c r="M127" s="10"/>
      <c r="N127" s="10"/>
      <c r="O127" s="10"/>
      <c r="P127" s="10"/>
      <c r="Q127" s="10"/>
      <c r="R127" s="10"/>
    </row>
    <row r="128" spans="1:18" ht="0.75" customHeight="1" x14ac:dyDescent="0.3">
      <c r="A128" s="80"/>
      <c r="B128" s="80"/>
      <c r="C128" s="80"/>
      <c r="D128" s="80"/>
      <c r="E128" s="80"/>
      <c r="F128" s="80"/>
      <c r="G128" s="80"/>
      <c r="H128" s="10"/>
      <c r="I128" s="10"/>
      <c r="J128" s="10"/>
      <c r="K128" s="10"/>
      <c r="L128" s="10"/>
      <c r="M128" s="10"/>
      <c r="N128" s="10"/>
      <c r="O128" s="10"/>
      <c r="P128" s="10"/>
      <c r="Q128" s="10"/>
      <c r="R128" s="10"/>
    </row>
    <row r="129" spans="1:18" ht="36" customHeight="1" x14ac:dyDescent="0.3">
      <c r="A129" s="629" t="s">
        <v>458</v>
      </c>
      <c r="B129" s="629"/>
      <c r="C129" s="173">
        <v>1.7000000000000001E-2</v>
      </c>
      <c r="D129" s="174">
        <f>(C66+C70)*C129</f>
        <v>56.707065750000012</v>
      </c>
      <c r="E129" s="80"/>
      <c r="F129" s="80"/>
      <c r="G129" s="80"/>
      <c r="H129" s="10"/>
      <c r="I129" s="10"/>
      <c r="J129" s="10"/>
      <c r="K129" s="10"/>
      <c r="L129" s="10"/>
      <c r="M129" s="10"/>
      <c r="N129" s="10"/>
      <c r="O129" s="10"/>
      <c r="P129" s="10"/>
      <c r="Q129" s="10"/>
      <c r="R129" s="10"/>
    </row>
    <row r="130" spans="1:18" ht="15.6" x14ac:dyDescent="0.3">
      <c r="A130" s="80"/>
      <c r="B130" s="80"/>
      <c r="C130" s="80"/>
      <c r="D130" s="80"/>
      <c r="E130" s="80"/>
      <c r="F130" s="80"/>
      <c r="G130" s="80"/>
      <c r="H130" s="10"/>
      <c r="I130" s="10"/>
      <c r="J130" s="10"/>
      <c r="K130" s="10"/>
      <c r="L130" s="10"/>
      <c r="M130" s="10"/>
      <c r="N130" s="10"/>
      <c r="O130" s="10"/>
      <c r="P130" s="10"/>
      <c r="Q130" s="10"/>
      <c r="R130" s="10"/>
    </row>
    <row r="131" spans="1:18" ht="15.6" x14ac:dyDescent="0.3">
      <c r="A131" s="10"/>
      <c r="B131" s="10"/>
      <c r="C131" s="10"/>
      <c r="D131" s="10"/>
      <c r="E131" s="10"/>
      <c r="F131" s="10"/>
      <c r="G131" s="10"/>
      <c r="H131" s="10"/>
      <c r="I131" s="10"/>
      <c r="J131" s="10"/>
      <c r="K131" s="10"/>
      <c r="L131" s="10"/>
      <c r="M131" s="10"/>
      <c r="N131" s="10"/>
      <c r="O131" s="10"/>
      <c r="P131" s="10"/>
      <c r="Q131" s="10"/>
      <c r="R131" s="10"/>
    </row>
    <row r="132" spans="1:18" ht="15.6" x14ac:dyDescent="0.3">
      <c r="A132" s="10"/>
      <c r="B132" s="10"/>
      <c r="C132" s="10"/>
      <c r="D132" s="10"/>
      <c r="E132" s="10"/>
      <c r="F132" s="10"/>
      <c r="G132" s="10"/>
      <c r="H132" s="10"/>
      <c r="I132" s="10"/>
      <c r="J132" s="10"/>
      <c r="K132" s="10"/>
      <c r="L132" s="10"/>
      <c r="M132" s="10"/>
      <c r="N132" s="10"/>
      <c r="O132" s="10"/>
      <c r="P132" s="10"/>
      <c r="Q132" s="10"/>
      <c r="R132" s="10"/>
    </row>
    <row r="133" spans="1:18" ht="15.6" x14ac:dyDescent="0.3">
      <c r="A133" s="10"/>
      <c r="B133" s="10"/>
      <c r="C133" s="10"/>
      <c r="D133" s="10"/>
      <c r="E133" s="10"/>
      <c r="F133" s="10"/>
      <c r="G133" s="10"/>
      <c r="H133" s="10"/>
      <c r="I133" s="10"/>
      <c r="J133" s="10"/>
      <c r="K133" s="10"/>
      <c r="L133" s="10"/>
      <c r="M133" s="10"/>
      <c r="N133" s="10"/>
      <c r="O133" s="10"/>
      <c r="P133" s="10"/>
      <c r="Q133" s="10"/>
      <c r="R133" s="10"/>
    </row>
    <row r="134" spans="1:18" ht="15.6" x14ac:dyDescent="0.3">
      <c r="A134" s="10"/>
      <c r="B134" s="10"/>
      <c r="C134" s="10"/>
      <c r="D134" s="10"/>
      <c r="E134" s="10"/>
      <c r="F134" s="10"/>
      <c r="G134" s="10"/>
      <c r="H134" s="10"/>
      <c r="I134" s="10"/>
      <c r="J134" s="10"/>
      <c r="K134" s="10"/>
      <c r="L134" s="10"/>
      <c r="M134" s="10"/>
      <c r="N134" s="10"/>
      <c r="O134" s="10"/>
      <c r="P134" s="10"/>
      <c r="Q134" s="10"/>
      <c r="R134" s="10"/>
    </row>
    <row r="135" spans="1:18" ht="15.6" x14ac:dyDescent="0.3">
      <c r="A135" s="10"/>
      <c r="B135" s="10"/>
      <c r="C135" s="10"/>
      <c r="D135" s="10"/>
      <c r="E135" s="10"/>
      <c r="F135" s="10"/>
      <c r="G135" s="10"/>
      <c r="H135" s="10"/>
      <c r="I135" s="10"/>
      <c r="J135" s="10"/>
      <c r="K135" s="10"/>
      <c r="L135" s="10"/>
      <c r="M135" s="10"/>
      <c r="N135" s="10"/>
      <c r="O135" s="10"/>
      <c r="P135" s="10"/>
      <c r="Q135" s="10"/>
      <c r="R135" s="10"/>
    </row>
    <row r="136" spans="1:18" ht="15.6" x14ac:dyDescent="0.3">
      <c r="A136" s="10"/>
      <c r="B136" s="10"/>
      <c r="C136" s="10"/>
      <c r="D136" s="10"/>
      <c r="E136" s="10"/>
      <c r="F136" s="10"/>
      <c r="G136" s="10"/>
      <c r="H136" s="10"/>
      <c r="I136" s="10"/>
      <c r="J136" s="10"/>
      <c r="K136" s="10"/>
      <c r="L136" s="10"/>
      <c r="M136" s="10"/>
      <c r="N136" s="10"/>
      <c r="O136" s="10"/>
      <c r="P136" s="10"/>
      <c r="Q136" s="10"/>
      <c r="R136" s="10"/>
    </row>
    <row r="137" spans="1:18" ht="15.6" x14ac:dyDescent="0.3">
      <c r="A137" s="10"/>
      <c r="B137" s="10"/>
      <c r="C137" s="10"/>
      <c r="D137" s="10"/>
      <c r="E137" s="10"/>
      <c r="F137" s="10"/>
      <c r="G137" s="10"/>
      <c r="H137" s="10"/>
      <c r="I137" s="10"/>
      <c r="J137" s="10"/>
      <c r="K137" s="10"/>
      <c r="L137" s="10"/>
      <c r="M137" s="10"/>
      <c r="N137" s="10"/>
      <c r="O137" s="10"/>
      <c r="P137" s="10"/>
      <c r="Q137" s="10"/>
      <c r="R137" s="10"/>
    </row>
    <row r="138" spans="1:18" ht="15.6" x14ac:dyDescent="0.3">
      <c r="A138" s="10"/>
      <c r="B138" s="10"/>
      <c r="C138" s="10"/>
      <c r="D138" s="10"/>
      <c r="E138" s="10"/>
      <c r="F138" s="10"/>
      <c r="G138" s="10"/>
      <c r="H138" s="10"/>
      <c r="I138" s="10"/>
      <c r="J138" s="10"/>
      <c r="K138" s="10"/>
      <c r="L138" s="10"/>
      <c r="M138" s="10"/>
      <c r="N138" s="10"/>
      <c r="O138" s="10"/>
      <c r="P138" s="10"/>
      <c r="Q138" s="10"/>
      <c r="R138" s="10"/>
    </row>
    <row r="139" spans="1:18" ht="15.6" x14ac:dyDescent="0.3">
      <c r="A139" s="10"/>
      <c r="B139" s="10"/>
      <c r="C139" s="10"/>
      <c r="D139" s="10"/>
      <c r="E139" s="10"/>
      <c r="F139" s="10"/>
      <c r="G139" s="10"/>
      <c r="H139" s="10"/>
      <c r="I139" s="10"/>
      <c r="J139" s="10"/>
      <c r="K139" s="10"/>
      <c r="L139" s="10"/>
      <c r="M139" s="10"/>
      <c r="N139" s="10"/>
      <c r="O139" s="10"/>
      <c r="P139" s="10"/>
      <c r="Q139" s="10"/>
      <c r="R139" s="10"/>
    </row>
    <row r="140" spans="1:18" ht="15.6" x14ac:dyDescent="0.3">
      <c r="A140" s="10"/>
      <c r="B140" s="10"/>
      <c r="C140" s="10"/>
      <c r="D140" s="10"/>
      <c r="E140" s="10"/>
      <c r="F140" s="10"/>
      <c r="G140" s="10"/>
      <c r="H140" s="10"/>
      <c r="I140" s="10"/>
      <c r="J140" s="10"/>
      <c r="K140" s="10"/>
      <c r="L140" s="10"/>
      <c r="M140" s="10"/>
      <c r="N140" s="10"/>
      <c r="O140" s="10"/>
      <c r="P140" s="10"/>
      <c r="Q140" s="10"/>
      <c r="R140" s="10"/>
    </row>
    <row r="141" spans="1:18" ht="15.6" x14ac:dyDescent="0.3">
      <c r="A141" s="10"/>
      <c r="B141" s="10"/>
      <c r="C141" s="10"/>
      <c r="D141" s="10"/>
      <c r="E141" s="10"/>
      <c r="F141" s="10"/>
      <c r="G141" s="10"/>
      <c r="H141" s="10"/>
      <c r="I141" s="10"/>
      <c r="J141" s="10"/>
      <c r="K141" s="10"/>
      <c r="L141" s="10"/>
      <c r="M141" s="10"/>
      <c r="N141" s="10"/>
      <c r="O141" s="10"/>
      <c r="P141" s="10"/>
      <c r="Q141" s="10"/>
      <c r="R141" s="10"/>
    </row>
    <row r="142" spans="1:18" ht="15.6" x14ac:dyDescent="0.3">
      <c r="A142" s="10"/>
      <c r="B142" s="10"/>
      <c r="C142" s="10"/>
      <c r="D142" s="10"/>
      <c r="E142" s="10"/>
      <c r="F142" s="10"/>
      <c r="G142" s="10"/>
      <c r="H142" s="10"/>
      <c r="I142" s="10"/>
      <c r="J142" s="10"/>
      <c r="K142" s="10"/>
      <c r="L142" s="10"/>
      <c r="M142" s="10"/>
      <c r="N142" s="10"/>
      <c r="O142" s="10"/>
      <c r="P142" s="10"/>
      <c r="Q142" s="10"/>
      <c r="R142" s="10"/>
    </row>
    <row r="144" spans="1:18" ht="28.5" customHeight="1" x14ac:dyDescent="0.3">
      <c r="A144" s="631"/>
      <c r="B144" s="631"/>
      <c r="C144" s="631"/>
      <c r="D144" s="631"/>
      <c r="E144" s="631"/>
      <c r="F144" s="631"/>
      <c r="G144" s="631"/>
      <c r="H144" s="631"/>
      <c r="I144" s="631"/>
      <c r="J144" s="631"/>
    </row>
    <row r="201" ht="15" customHeight="1" x14ac:dyDescent="0.3"/>
    <row r="210" ht="18.75" customHeight="1" x14ac:dyDescent="0.3"/>
    <row r="211" ht="18.75" customHeight="1" x14ac:dyDescent="0.3"/>
    <row r="212" ht="18.75" customHeight="1" x14ac:dyDescent="0.3"/>
    <row r="213" ht="18.75" customHeight="1" x14ac:dyDescent="0.3"/>
    <row r="214" ht="18.75" customHeight="1" x14ac:dyDescent="0.3"/>
    <row r="215" ht="18.75" customHeight="1" x14ac:dyDescent="0.3"/>
    <row r="216" ht="18.75" customHeight="1" x14ac:dyDescent="0.3"/>
    <row r="217" ht="18.75" customHeight="1" x14ac:dyDescent="0.3"/>
  </sheetData>
  <mergeCells count="137">
    <mergeCell ref="A1:J1"/>
    <mergeCell ref="A2:D2"/>
    <mergeCell ref="F2:J2"/>
    <mergeCell ref="B3:D3"/>
    <mergeCell ref="G3:J3"/>
    <mergeCell ref="B4:D4"/>
    <mergeCell ref="G4:J4"/>
    <mergeCell ref="B5:D5"/>
    <mergeCell ref="G5:J5"/>
    <mergeCell ref="B6:D6"/>
    <mergeCell ref="G6:J6"/>
    <mergeCell ref="B7:D7"/>
    <mergeCell ref="G7:J7"/>
    <mergeCell ref="B8:D8"/>
    <mergeCell ref="G8:J8"/>
    <mergeCell ref="C9:D9"/>
    <mergeCell ref="F9:G9"/>
    <mergeCell ref="F10:G10"/>
    <mergeCell ref="B11:D11"/>
    <mergeCell ref="A12:J12"/>
    <mergeCell ref="A13:F13"/>
    <mergeCell ref="A14:F14"/>
    <mergeCell ref="A15:F15"/>
    <mergeCell ref="A16:F16"/>
    <mergeCell ref="A17:F17"/>
    <mergeCell ref="A18:F18"/>
    <mergeCell ref="A19:F19"/>
    <mergeCell ref="A20:F20"/>
    <mergeCell ref="A21:F21"/>
    <mergeCell ref="A22:F22"/>
    <mergeCell ref="A23:F23"/>
    <mergeCell ref="A24:F24"/>
    <mergeCell ref="A25:F25"/>
    <mergeCell ref="A26:F26"/>
    <mergeCell ref="A27:F27"/>
    <mergeCell ref="A28:F28"/>
    <mergeCell ref="A29:F29"/>
    <mergeCell ref="A30:F30"/>
    <mergeCell ref="A31:F31"/>
    <mergeCell ref="A32:F32"/>
    <mergeCell ref="A33:B33"/>
    <mergeCell ref="D33:I33"/>
    <mergeCell ref="A34:B34"/>
    <mergeCell ref="A35:B35"/>
    <mergeCell ref="A36:B36"/>
    <mergeCell ref="O36:P36"/>
    <mergeCell ref="A37:B37"/>
    <mergeCell ref="O37:P37"/>
    <mergeCell ref="A38:B38"/>
    <mergeCell ref="O38:P38"/>
    <mergeCell ref="A39:B39"/>
    <mergeCell ref="O39:P39"/>
    <mergeCell ref="A40:B40"/>
    <mergeCell ref="O40:P40"/>
    <mergeCell ref="A41:B41"/>
    <mergeCell ref="O41:P41"/>
    <mergeCell ref="A42:B42"/>
    <mergeCell ref="A43:B43"/>
    <mergeCell ref="A44:B44"/>
    <mergeCell ref="O44:P44"/>
    <mergeCell ref="A45:B45"/>
    <mergeCell ref="O45:P45"/>
    <mergeCell ref="A46:B46"/>
    <mergeCell ref="O46:P46"/>
    <mergeCell ref="A47:B47"/>
    <mergeCell ref="L47:L48"/>
    <mergeCell ref="A48:B48"/>
    <mergeCell ref="A49:B49"/>
    <mergeCell ref="A50:B50"/>
    <mergeCell ref="A51:B51"/>
    <mergeCell ref="M51:O51"/>
    <mergeCell ref="A52:B52"/>
    <mergeCell ref="M52:N52"/>
    <mergeCell ref="A53:B53"/>
    <mergeCell ref="A54:B54"/>
    <mergeCell ref="A55:B55"/>
    <mergeCell ref="A56:B56"/>
    <mergeCell ref="A57:B57"/>
    <mergeCell ref="M57:N57"/>
    <mergeCell ref="A58:B58"/>
    <mergeCell ref="A59:B59"/>
    <mergeCell ref="A60:B60"/>
    <mergeCell ref="M60:N60"/>
    <mergeCell ref="A61:B61"/>
    <mergeCell ref="A62:B62"/>
    <mergeCell ref="A63:B63"/>
    <mergeCell ref="A64:B64"/>
    <mergeCell ref="M64:N64"/>
    <mergeCell ref="A65:B65"/>
    <mergeCell ref="A66:B66"/>
    <mergeCell ref="A67:B67"/>
    <mergeCell ref="A68:B68"/>
    <mergeCell ref="A69:B69"/>
    <mergeCell ref="A70:B70"/>
    <mergeCell ref="A71:B71"/>
    <mergeCell ref="A72:B72"/>
    <mergeCell ref="A73:B73"/>
    <mergeCell ref="A74:B74"/>
    <mergeCell ref="A75:B75"/>
    <mergeCell ref="A76:B76"/>
    <mergeCell ref="A77:B77"/>
    <mergeCell ref="A78:I78"/>
    <mergeCell ref="J78:L78"/>
    <mergeCell ref="A79:I81"/>
    <mergeCell ref="J79:L81"/>
    <mergeCell ref="A82:C83"/>
    <mergeCell ref="D82:E82"/>
    <mergeCell ref="F82:G82"/>
    <mergeCell ref="D83:E83"/>
    <mergeCell ref="F83:G83"/>
    <mergeCell ref="A84:I84"/>
    <mergeCell ref="J84:L84"/>
    <mergeCell ref="A85:I85"/>
    <mergeCell ref="J85:L85"/>
    <mergeCell ref="A86:I86"/>
    <mergeCell ref="J86:L86"/>
    <mergeCell ref="A87:I87"/>
    <mergeCell ref="J87:L87"/>
    <mergeCell ref="D88:E88"/>
    <mergeCell ref="F88:G88"/>
    <mergeCell ref="A117:B117"/>
    <mergeCell ref="A118:B118"/>
    <mergeCell ref="A119:B119"/>
    <mergeCell ref="A124:B124"/>
    <mergeCell ref="A125:B125"/>
    <mergeCell ref="A127:D127"/>
    <mergeCell ref="A129:B129"/>
    <mergeCell ref="A144:J144"/>
    <mergeCell ref="A93:E93"/>
    <mergeCell ref="A109:B109"/>
    <mergeCell ref="A110:B110"/>
    <mergeCell ref="A111:B111"/>
    <mergeCell ref="A112:B112"/>
    <mergeCell ref="A113:B113"/>
    <mergeCell ref="A114:B114"/>
    <mergeCell ref="A115:B115"/>
    <mergeCell ref="A116:B116"/>
  </mergeCells>
  <dataValidations count="2">
    <dataValidation operator="equal" allowBlank="1" showErrorMessage="1" errorTitle="Smic minimum" error="attention tatal brut au minimum égal au smic pour 151,67 h" sqref="J33 K34" xr:uid="{00000000-0002-0000-0400-00000000000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G7" xr:uid="{00000000-0002-0000-0400-000001000000}">
      <formula1>$M$3:$M$5</formula1>
      <formula2>0</formula2>
    </dataValidation>
  </dataValidations>
  <printOptions horizontalCentered="1" verticalCentered="1"/>
  <pageMargins left="0.118055555555556" right="0.118055555555556" top="0.59027777777777801" bottom="0.35416666666666702" header="0.511811023622047" footer="0.511811023622047"/>
  <pageSetup paperSize="9" scale="75" orientation="portrait" horizontalDpi="300" verticalDpi="30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35"/>
  <sheetViews>
    <sheetView tabSelected="1" topLeftCell="A72" zoomScale="140" zoomScaleNormal="140" workbookViewId="0">
      <selection activeCell="G11" sqref="G11"/>
    </sheetView>
  </sheetViews>
  <sheetFormatPr baseColWidth="10" defaultColWidth="11.44140625" defaultRowHeight="13.5" customHeight="1" x14ac:dyDescent="0.25"/>
  <cols>
    <col min="1" max="1" width="17.109375" style="177" customWidth="1"/>
    <col min="2" max="2" width="22.33203125" style="177" customWidth="1"/>
    <col min="3" max="3" width="11" style="178" customWidth="1"/>
    <col min="4" max="4" width="9.109375" style="179" customWidth="1"/>
    <col min="5" max="5" width="9" style="179" customWidth="1"/>
    <col min="6" max="6" width="12.33203125" style="178" customWidth="1"/>
    <col min="7" max="7" width="12.44140625" style="178" customWidth="1"/>
    <col min="8" max="8" width="8.44140625" style="80" customWidth="1"/>
    <col min="9" max="9" width="8.109375" style="80" customWidth="1"/>
    <col min="10" max="10" width="11.109375" style="80" customWidth="1"/>
    <col min="11" max="11" width="12.88671875" style="80" hidden="1" customWidth="1"/>
    <col min="12" max="12" width="0.44140625" style="80" customWidth="1"/>
    <col min="13" max="13" width="12.88671875" style="80" customWidth="1"/>
    <col min="14" max="16384" width="11.44140625" style="80"/>
  </cols>
  <sheetData>
    <row r="1" spans="1:10" ht="15.75" customHeight="1" x14ac:dyDescent="0.3">
      <c r="A1" s="676" t="s">
        <v>342</v>
      </c>
      <c r="B1" s="676"/>
      <c r="C1" s="676"/>
      <c r="D1" s="676"/>
      <c r="E1" s="676"/>
      <c r="F1" s="676"/>
      <c r="G1" s="676"/>
      <c r="H1" s="676"/>
      <c r="I1" s="676"/>
      <c r="J1" s="676"/>
    </row>
    <row r="2" spans="1:10" ht="15.75" customHeight="1" x14ac:dyDescent="0.3">
      <c r="A2" s="677" t="s">
        <v>343</v>
      </c>
      <c r="B2" s="677"/>
      <c r="C2" s="677"/>
      <c r="D2" s="677"/>
      <c r="E2" s="81"/>
      <c r="F2" s="678" t="s">
        <v>344</v>
      </c>
      <c r="G2" s="678"/>
      <c r="H2" s="678"/>
      <c r="I2" s="678"/>
      <c r="J2" s="678"/>
    </row>
    <row r="3" spans="1:10" ht="15.75" customHeight="1" x14ac:dyDescent="0.25">
      <c r="A3" s="82" t="s">
        <v>345</v>
      </c>
      <c r="B3" s="714" t="str">
        <f>'Masque de Saisie'!G4</f>
        <v>BDO</v>
      </c>
      <c r="C3" s="714"/>
      <c r="D3" s="714"/>
      <c r="E3" s="83"/>
      <c r="F3" s="84" t="s">
        <v>345</v>
      </c>
      <c r="G3" s="674" t="str">
        <f>'Masque de Saisie'!E28</f>
        <v xml:space="preserve">LE GARREC </v>
      </c>
      <c r="H3" s="674"/>
      <c r="I3" s="674"/>
      <c r="J3" s="674"/>
    </row>
    <row r="4" spans="1:10" ht="15.75" customHeight="1" x14ac:dyDescent="0.25">
      <c r="A4" s="82" t="s">
        <v>346</v>
      </c>
      <c r="B4" s="714" t="str">
        <f>'Masque de Saisie'!G5</f>
        <v xml:space="preserve">29 Rue Clémenceau  22430 Erquy </v>
      </c>
      <c r="C4" s="714"/>
      <c r="D4" s="714"/>
      <c r="E4" s="83"/>
      <c r="F4" s="84" t="s">
        <v>347</v>
      </c>
      <c r="G4" s="674" t="str">
        <f>'Masque de Saisie'!E29</f>
        <v xml:space="preserve">Yvon </v>
      </c>
      <c r="H4" s="674"/>
      <c r="I4" s="674"/>
      <c r="J4" s="674"/>
    </row>
    <row r="5" spans="1:10" ht="15.75" customHeight="1" x14ac:dyDescent="0.25">
      <c r="A5" s="82"/>
      <c r="B5" s="713"/>
      <c r="C5" s="713"/>
      <c r="D5" s="713"/>
      <c r="E5" s="83"/>
      <c r="F5" s="84" t="s">
        <v>348</v>
      </c>
      <c r="G5" s="679" t="str">
        <f>'Masque de Saisie'!E31</f>
        <v xml:space="preserve">Gestionnaire Paie </v>
      </c>
      <c r="H5" s="679"/>
      <c r="I5" s="679"/>
      <c r="J5" s="679"/>
    </row>
    <row r="6" spans="1:10" ht="15.75" customHeight="1" x14ac:dyDescent="0.25">
      <c r="A6" s="82" t="s">
        <v>349</v>
      </c>
      <c r="B6" s="712">
        <f>'Masque de Saisie'!G6</f>
        <v>4980785750020</v>
      </c>
      <c r="C6" s="712"/>
      <c r="D6" s="712"/>
      <c r="E6" s="86"/>
      <c r="F6" s="84" t="s">
        <v>350</v>
      </c>
      <c r="G6" s="672"/>
      <c r="H6" s="672"/>
      <c r="I6" s="672"/>
      <c r="J6" s="672"/>
    </row>
    <row r="7" spans="1:10" ht="15.75" customHeight="1" x14ac:dyDescent="0.25">
      <c r="A7" s="82" t="s">
        <v>351</v>
      </c>
      <c r="B7" s="713" t="str">
        <f>'Masque de Saisie'!G7</f>
        <v>6920Z</v>
      </c>
      <c r="C7" s="713"/>
      <c r="D7" s="713"/>
      <c r="E7" s="83"/>
      <c r="F7" s="84" t="s">
        <v>352</v>
      </c>
      <c r="G7" s="673" t="s">
        <v>235</v>
      </c>
      <c r="H7" s="673"/>
      <c r="I7" s="673"/>
      <c r="J7" s="673"/>
    </row>
    <row r="8" spans="1:10" ht="15.75" customHeight="1" x14ac:dyDescent="0.25">
      <c r="A8" s="82" t="s">
        <v>353</v>
      </c>
      <c r="B8" s="712"/>
      <c r="C8" s="712"/>
      <c r="D8" s="712"/>
      <c r="E8" s="86"/>
      <c r="F8" s="87" t="s">
        <v>346</v>
      </c>
      <c r="G8" s="674" t="str">
        <f>'Masque de Saisie'!E30</f>
        <v xml:space="preserve">2 Avenue du Val Fleuri 22520 Binic </v>
      </c>
      <c r="H8" s="674"/>
      <c r="I8" s="674"/>
      <c r="J8" s="674"/>
    </row>
    <row r="9" spans="1:10" ht="15.75" customHeight="1" x14ac:dyDescent="0.25">
      <c r="A9" s="82" t="s">
        <v>354</v>
      </c>
      <c r="B9" s="88">
        <f>'Masque de Saisie'!G9</f>
        <v>30</v>
      </c>
      <c r="C9" s="673"/>
      <c r="D9" s="673"/>
      <c r="E9" s="83"/>
      <c r="F9" s="675" t="s">
        <v>355</v>
      </c>
      <c r="G9" s="675"/>
      <c r="H9" s="89"/>
      <c r="I9" s="85">
        <v>2</v>
      </c>
      <c r="J9" s="85" t="s">
        <v>237</v>
      </c>
    </row>
    <row r="10" spans="1:10" ht="15.75" customHeight="1" x14ac:dyDescent="0.25">
      <c r="A10" s="82" t="s">
        <v>11</v>
      </c>
      <c r="B10" s="91">
        <f>+'Masque de Saisie'!E48</f>
        <v>151.66999999999999</v>
      </c>
      <c r="C10" s="85" t="s">
        <v>356</v>
      </c>
      <c r="D10" s="92">
        <f>+'Masque de Saisie'!E45</f>
        <v>11.88</v>
      </c>
      <c r="E10" s="83"/>
      <c r="F10" s="673" t="s">
        <v>357</v>
      </c>
      <c r="G10" s="673"/>
      <c r="H10" s="93">
        <v>45931</v>
      </c>
      <c r="I10" s="94" t="s">
        <v>358</v>
      </c>
      <c r="J10" s="93">
        <f>+'Masque de Saisie'!E41</f>
        <v>45961</v>
      </c>
    </row>
    <row r="11" spans="1:10" ht="33.75" customHeight="1" x14ac:dyDescent="0.25">
      <c r="A11" s="95"/>
      <c r="B11" s="669" t="str">
        <f>'Masque de Saisie'!G8</f>
        <v>Convention Collective du Personnel des cabinets d'experts-comptables et de commissaires aux comptes Code IDCC 0787</v>
      </c>
      <c r="C11" s="669"/>
      <c r="D11" s="669"/>
      <c r="E11" s="96"/>
      <c r="F11" s="95" t="s">
        <v>359</v>
      </c>
      <c r="G11" s="97">
        <f>+'Masque de Saisie'!E42</f>
        <v>45961</v>
      </c>
      <c r="H11" s="98"/>
      <c r="I11" s="98"/>
      <c r="J11" s="99"/>
    </row>
    <row r="12" spans="1:10" ht="9.75" customHeight="1" x14ac:dyDescent="0.25">
      <c r="A12" s="670"/>
      <c r="B12" s="670"/>
      <c r="C12" s="670"/>
      <c r="D12" s="670"/>
      <c r="E12" s="670"/>
      <c r="F12" s="670"/>
      <c r="G12" s="670"/>
      <c r="H12" s="670"/>
      <c r="I12" s="670"/>
      <c r="J12" s="670"/>
    </row>
    <row r="13" spans="1:10" ht="18.75" customHeight="1" x14ac:dyDescent="0.25">
      <c r="A13" s="668" t="s">
        <v>360</v>
      </c>
      <c r="B13" s="668"/>
      <c r="C13" s="668"/>
      <c r="D13" s="668"/>
      <c r="E13" s="668"/>
      <c r="F13" s="668"/>
      <c r="G13" s="101">
        <f>+'Masque de Saisie'!E44</f>
        <v>151.66999999999999</v>
      </c>
      <c r="H13" s="95" t="s">
        <v>361</v>
      </c>
      <c r="I13" s="102">
        <f>J13/G13</f>
        <v>21.098437396980287</v>
      </c>
      <c r="J13" s="103">
        <f>'Masque de Saisie'!E43</f>
        <v>3200</v>
      </c>
    </row>
    <row r="14" spans="1:10" ht="18.75" hidden="1" customHeight="1" x14ac:dyDescent="0.25">
      <c r="A14" s="668" t="s">
        <v>362</v>
      </c>
      <c r="B14" s="668"/>
      <c r="C14" s="668"/>
      <c r="D14" s="668"/>
      <c r="E14" s="668"/>
      <c r="F14" s="668"/>
      <c r="G14" s="95"/>
      <c r="H14" s="95"/>
      <c r="I14" s="102"/>
      <c r="J14" s="103"/>
    </row>
    <row r="15" spans="1:10" ht="18.75" hidden="1" customHeight="1" x14ac:dyDescent="0.25">
      <c r="A15" s="668" t="s">
        <v>363</v>
      </c>
      <c r="B15" s="668"/>
      <c r="C15" s="668"/>
      <c r="D15" s="668"/>
      <c r="E15" s="668"/>
      <c r="F15" s="668"/>
      <c r="G15" s="100"/>
      <c r="H15" s="104"/>
      <c r="I15" s="102"/>
      <c r="J15" s="103"/>
    </row>
    <row r="16" spans="1:10" ht="18.75" hidden="1" customHeight="1" x14ac:dyDescent="0.25">
      <c r="A16" s="668" t="s">
        <v>364</v>
      </c>
      <c r="B16" s="668"/>
      <c r="C16" s="668"/>
      <c r="D16" s="668"/>
      <c r="E16" s="668"/>
      <c r="F16" s="668"/>
      <c r="G16" s="100"/>
      <c r="H16" s="104"/>
      <c r="I16" s="102"/>
      <c r="J16" s="103"/>
    </row>
    <row r="17" spans="1:10" ht="18.75" hidden="1" customHeight="1" x14ac:dyDescent="0.25">
      <c r="A17" s="668" t="s">
        <v>365</v>
      </c>
      <c r="B17" s="668"/>
      <c r="C17" s="668"/>
      <c r="D17" s="668"/>
      <c r="E17" s="668"/>
      <c r="F17" s="668"/>
      <c r="G17" s="100"/>
      <c r="H17" s="104" t="s">
        <v>361</v>
      </c>
      <c r="I17" s="102"/>
      <c r="J17" s="103"/>
    </row>
    <row r="18" spans="1:10" ht="18.75" hidden="1" customHeight="1" x14ac:dyDescent="0.25">
      <c r="A18" s="668" t="s">
        <v>366</v>
      </c>
      <c r="B18" s="668"/>
      <c r="C18" s="668"/>
      <c r="D18" s="668"/>
      <c r="E18" s="668"/>
      <c r="F18" s="668"/>
      <c r="G18" s="100"/>
      <c r="H18" s="104" t="s">
        <v>361</v>
      </c>
      <c r="I18" s="102"/>
      <c r="J18" s="103">
        <f>ROUND(G18*I18,2)</f>
        <v>0</v>
      </c>
    </row>
    <row r="19" spans="1:10" ht="18.75" hidden="1" customHeight="1" x14ac:dyDescent="0.25">
      <c r="A19" s="668" t="s">
        <v>367</v>
      </c>
      <c r="B19" s="668"/>
      <c r="C19" s="668"/>
      <c r="D19" s="668"/>
      <c r="E19" s="668"/>
      <c r="F19" s="668"/>
      <c r="G19" s="100"/>
      <c r="H19" s="104" t="s">
        <v>361</v>
      </c>
      <c r="I19" s="102"/>
      <c r="J19" s="103">
        <f>ROUND(G19*I19,2)</f>
        <v>0</v>
      </c>
    </row>
    <row r="20" spans="1:10" ht="18.75" hidden="1" customHeight="1" x14ac:dyDescent="0.25">
      <c r="A20" s="668" t="s">
        <v>368</v>
      </c>
      <c r="B20" s="668"/>
      <c r="C20" s="668"/>
      <c r="D20" s="668"/>
      <c r="E20" s="668"/>
      <c r="F20" s="668"/>
      <c r="G20" s="100"/>
      <c r="H20" s="104" t="s">
        <v>361</v>
      </c>
      <c r="I20" s="102"/>
      <c r="J20" s="103">
        <f>ROUND(G20*I20,2)</f>
        <v>0</v>
      </c>
    </row>
    <row r="21" spans="1:10" ht="18.75" hidden="1" customHeight="1" x14ac:dyDescent="0.25">
      <c r="A21" s="668" t="s">
        <v>369</v>
      </c>
      <c r="B21" s="668"/>
      <c r="C21" s="668"/>
      <c r="D21" s="668"/>
      <c r="E21" s="668"/>
      <c r="F21" s="668"/>
      <c r="G21" s="105"/>
      <c r="H21" s="104" t="s">
        <v>361</v>
      </c>
      <c r="I21" s="102">
        <f>ROUND(((J13+J16)*1.25/G13),6)</f>
        <v>26.373047</v>
      </c>
      <c r="J21" s="103">
        <f>ROUND(G21*I21,2)</f>
        <v>0</v>
      </c>
    </row>
    <row r="22" spans="1:10" ht="18.75" hidden="1" customHeight="1" x14ac:dyDescent="0.25">
      <c r="A22" s="668" t="s">
        <v>370</v>
      </c>
      <c r="B22" s="668"/>
      <c r="C22" s="668"/>
      <c r="D22" s="668"/>
      <c r="E22" s="668"/>
      <c r="F22" s="668"/>
      <c r="G22" s="100"/>
      <c r="H22" s="104" t="s">
        <v>371</v>
      </c>
      <c r="I22" s="95"/>
      <c r="J22" s="103"/>
    </row>
    <row r="23" spans="1:10" ht="18.75" hidden="1" customHeight="1" x14ac:dyDescent="0.25">
      <c r="A23" s="668" t="s">
        <v>372</v>
      </c>
      <c r="B23" s="668"/>
      <c r="C23" s="668"/>
      <c r="D23" s="668"/>
      <c r="E23" s="668"/>
      <c r="F23" s="668"/>
      <c r="G23" s="106"/>
      <c r="H23" s="107"/>
      <c r="I23" s="108"/>
      <c r="J23" s="109"/>
    </row>
    <row r="24" spans="1:10" ht="18.75" hidden="1" customHeight="1" x14ac:dyDescent="0.25">
      <c r="A24" s="668" t="s">
        <v>373</v>
      </c>
      <c r="B24" s="668"/>
      <c r="C24" s="668"/>
      <c r="D24" s="668"/>
      <c r="E24" s="668"/>
      <c r="F24" s="668"/>
      <c r="G24" s="106"/>
      <c r="H24" s="107"/>
      <c r="I24" s="108"/>
      <c r="J24" s="109"/>
    </row>
    <row r="25" spans="1:10" ht="18.75" hidden="1" customHeight="1" x14ac:dyDescent="0.25">
      <c r="A25" s="668" t="s">
        <v>374</v>
      </c>
      <c r="B25" s="668"/>
      <c r="C25" s="668"/>
      <c r="D25" s="668"/>
      <c r="E25" s="668"/>
      <c r="F25" s="668"/>
      <c r="G25" s="106"/>
      <c r="H25" s="107"/>
      <c r="I25" s="108"/>
      <c r="J25" s="109"/>
    </row>
    <row r="26" spans="1:10" ht="18.75" hidden="1" customHeight="1" x14ac:dyDescent="0.25">
      <c r="A26" s="663" t="s">
        <v>375</v>
      </c>
      <c r="B26" s="663"/>
      <c r="C26" s="663"/>
      <c r="D26" s="663"/>
      <c r="E26" s="663"/>
      <c r="F26" s="663"/>
      <c r="G26" s="106"/>
      <c r="H26" s="107"/>
      <c r="I26" s="108"/>
      <c r="J26" s="109"/>
    </row>
    <row r="27" spans="1:10" ht="18.75" hidden="1" customHeight="1" x14ac:dyDescent="0.25">
      <c r="A27" s="663" t="s">
        <v>376</v>
      </c>
      <c r="B27" s="663"/>
      <c r="C27" s="663"/>
      <c r="D27" s="663"/>
      <c r="E27" s="663"/>
      <c r="F27" s="663"/>
      <c r="G27" s="106"/>
      <c r="H27" s="107"/>
      <c r="I27" s="108"/>
      <c r="J27" s="109"/>
    </row>
    <row r="28" spans="1:10" ht="18.75" hidden="1" customHeight="1" x14ac:dyDescent="0.25">
      <c r="A28" s="663" t="s">
        <v>377</v>
      </c>
      <c r="B28" s="663"/>
      <c r="C28" s="663"/>
      <c r="D28" s="663"/>
      <c r="E28" s="663"/>
      <c r="F28" s="663"/>
      <c r="G28" s="106"/>
      <c r="H28" s="107"/>
      <c r="I28" s="108"/>
      <c r="J28" s="109"/>
    </row>
    <row r="29" spans="1:10" ht="18.75" hidden="1" customHeight="1" x14ac:dyDescent="0.25">
      <c r="A29" s="663" t="s">
        <v>378</v>
      </c>
      <c r="B29" s="663"/>
      <c r="C29" s="663"/>
      <c r="D29" s="663"/>
      <c r="E29" s="663"/>
      <c r="F29" s="663"/>
      <c r="G29" s="106"/>
      <c r="H29" s="107"/>
      <c r="I29" s="108"/>
      <c r="J29" s="109"/>
    </row>
    <row r="30" spans="1:10" ht="18.75" hidden="1" customHeight="1" x14ac:dyDescent="0.25">
      <c r="A30" s="663" t="s">
        <v>379</v>
      </c>
      <c r="B30" s="663"/>
      <c r="C30" s="663"/>
      <c r="D30" s="663"/>
      <c r="E30" s="663"/>
      <c r="F30" s="663"/>
      <c r="G30" s="106"/>
      <c r="H30" s="107"/>
      <c r="I30" s="108"/>
      <c r="J30" s="109"/>
    </row>
    <row r="31" spans="1:10" ht="18.75" hidden="1" customHeight="1" x14ac:dyDescent="0.25">
      <c r="A31" s="663" t="s">
        <v>380</v>
      </c>
      <c r="B31" s="663"/>
      <c r="C31" s="663"/>
      <c r="D31" s="663"/>
      <c r="E31" s="663"/>
      <c r="F31" s="663"/>
      <c r="G31" s="106"/>
      <c r="H31" s="107"/>
      <c r="I31" s="108"/>
      <c r="J31" s="109"/>
    </row>
    <row r="32" spans="1:10" ht="18.75" customHeight="1" x14ac:dyDescent="0.25">
      <c r="A32" s="663" t="s">
        <v>381</v>
      </c>
      <c r="B32" s="663"/>
      <c r="C32" s="663"/>
      <c r="D32" s="663"/>
      <c r="E32" s="663"/>
      <c r="F32" s="663"/>
      <c r="G32" s="106"/>
      <c r="H32" s="107"/>
      <c r="I32" s="108"/>
      <c r="J32" s="109">
        <f>'ENONCE 2025'!F90</f>
        <v>62.299999999999983</v>
      </c>
    </row>
    <row r="33" spans="1:10" ht="15.75" customHeight="1" x14ac:dyDescent="0.3">
      <c r="A33" s="664" t="s">
        <v>382</v>
      </c>
      <c r="B33" s="664"/>
      <c r="C33" s="110">
        <f>'Masque de Saisie'!E46</f>
        <v>3925</v>
      </c>
      <c r="D33" s="707" t="s">
        <v>383</v>
      </c>
      <c r="E33" s="707"/>
      <c r="F33" s="707"/>
      <c r="G33" s="707"/>
      <c r="H33" s="707"/>
      <c r="I33" s="707"/>
      <c r="J33" s="180">
        <f>SUM(J13:J32)</f>
        <v>3262.3</v>
      </c>
    </row>
    <row r="34" spans="1:10" ht="10.5" customHeight="1" x14ac:dyDescent="0.25">
      <c r="A34" s="708"/>
      <c r="B34" s="708"/>
      <c r="C34" s="708"/>
      <c r="D34" s="708"/>
      <c r="E34" s="708"/>
      <c r="F34" s="708"/>
      <c r="G34" s="708"/>
      <c r="H34" s="708"/>
      <c r="I34" s="708"/>
      <c r="J34" s="708"/>
    </row>
    <row r="35" spans="1:10" ht="30" customHeight="1" x14ac:dyDescent="0.25">
      <c r="A35" s="709" t="s">
        <v>459</v>
      </c>
      <c r="B35" s="709"/>
      <c r="C35" s="181" t="s">
        <v>385</v>
      </c>
      <c r="D35" s="182" t="s">
        <v>386</v>
      </c>
      <c r="E35" s="182" t="s">
        <v>387</v>
      </c>
      <c r="F35" s="181" t="s">
        <v>388</v>
      </c>
      <c r="G35" s="181" t="s">
        <v>389</v>
      </c>
      <c r="H35" s="183"/>
    </row>
    <row r="36" spans="1:10" ht="17.25" customHeight="1" x14ac:dyDescent="0.25">
      <c r="A36" s="710" t="s">
        <v>390</v>
      </c>
      <c r="B36" s="710"/>
      <c r="C36" s="711"/>
      <c r="D36" s="711"/>
      <c r="E36" s="711"/>
      <c r="F36" s="711"/>
      <c r="G36" s="711"/>
    </row>
    <row r="37" spans="1:10" ht="18" customHeight="1" x14ac:dyDescent="0.25">
      <c r="A37" s="691" t="s">
        <v>460</v>
      </c>
      <c r="B37" s="691"/>
      <c r="C37" s="185">
        <f>J33</f>
        <v>3262.3</v>
      </c>
      <c r="D37" s="186"/>
      <c r="E37" s="186">
        <f>VLOOKUP(A37,TAUX2023,4,FALSE())</f>
        <v>7.0000000000000007E-2</v>
      </c>
      <c r="F37" s="187"/>
      <c r="G37" s="185">
        <f t="shared" ref="G37:G49" si="0">ROUND(C37*E37,2)</f>
        <v>228.36</v>
      </c>
      <c r="J37" s="188"/>
    </row>
    <row r="38" spans="1:10" ht="19.5" hidden="1" customHeight="1" x14ac:dyDescent="0.25">
      <c r="A38" s="691" t="s">
        <v>392</v>
      </c>
      <c r="B38" s="691"/>
      <c r="C38" s="189">
        <f>IF(J33&gt;2.25*B10*D10,J33,0)</f>
        <v>0</v>
      </c>
      <c r="D38" s="186"/>
      <c r="E38" s="186">
        <f>VLOOKUP(A38,TAUX2023,4,FALSE())</f>
        <v>0.06</v>
      </c>
      <c r="F38" s="187"/>
      <c r="G38" s="185">
        <f t="shared" si="0"/>
        <v>0</v>
      </c>
      <c r="J38" s="188"/>
    </row>
    <row r="39" spans="1:10" ht="19.5" hidden="1" customHeight="1" x14ac:dyDescent="0.25">
      <c r="A39" s="706"/>
      <c r="B39" s="706"/>
      <c r="C39" s="185"/>
      <c r="D39" s="191"/>
      <c r="E39" s="191"/>
      <c r="F39" s="187">
        <f t="shared" ref="F39:F48" si="1">ROUND(C39*D39,2)</f>
        <v>0</v>
      </c>
      <c r="G39" s="185">
        <f t="shared" si="0"/>
        <v>0</v>
      </c>
      <c r="J39" s="128"/>
    </row>
    <row r="40" spans="1:10" ht="19.5" hidden="1" customHeight="1" x14ac:dyDescent="0.25">
      <c r="A40" s="691" t="s">
        <v>393</v>
      </c>
      <c r="B40" s="691"/>
      <c r="C40" s="185">
        <f>IF(I9=1,J33,0)</f>
        <v>0</v>
      </c>
      <c r="D40" s="186">
        <f>'Masque de Saisie'!G12</f>
        <v>0</v>
      </c>
      <c r="E40" s="186">
        <f>'Masque de Saisie'!H12</f>
        <v>0</v>
      </c>
      <c r="F40" s="187">
        <f t="shared" si="1"/>
        <v>0</v>
      </c>
      <c r="G40" s="185">
        <f t="shared" si="0"/>
        <v>0</v>
      </c>
      <c r="J40" s="128"/>
    </row>
    <row r="41" spans="1:10" ht="19.5" hidden="1" customHeight="1" x14ac:dyDescent="0.25">
      <c r="A41" s="701"/>
      <c r="B41" s="701"/>
      <c r="C41" s="185"/>
      <c r="D41" s="186"/>
      <c r="E41" s="186"/>
      <c r="F41" s="187">
        <f t="shared" si="1"/>
        <v>0</v>
      </c>
      <c r="G41" s="185">
        <f t="shared" si="0"/>
        <v>0</v>
      </c>
      <c r="J41" s="128"/>
    </row>
    <row r="42" spans="1:10" ht="19.5" hidden="1" customHeight="1" x14ac:dyDescent="0.25">
      <c r="A42" s="701"/>
      <c r="B42" s="701"/>
      <c r="C42" s="191"/>
      <c r="D42" s="191"/>
      <c r="E42" s="191"/>
      <c r="F42" s="187">
        <f t="shared" si="1"/>
        <v>0</v>
      </c>
      <c r="G42" s="185">
        <f t="shared" si="0"/>
        <v>0</v>
      </c>
      <c r="J42" s="128"/>
    </row>
    <row r="43" spans="1:10" ht="19.5" customHeight="1" x14ac:dyDescent="0.25">
      <c r="A43" s="691" t="s">
        <v>217</v>
      </c>
      <c r="B43" s="691"/>
      <c r="C43" s="185">
        <f>IF(I9=2,J33,0)</f>
        <v>3262.3</v>
      </c>
      <c r="D43" s="186">
        <f>'Masque de Saisie'!G15</f>
        <v>0.01</v>
      </c>
      <c r="E43" s="186">
        <f>'Masque de Saisie'!H15</f>
        <v>0.02</v>
      </c>
      <c r="F43" s="187">
        <f t="shared" si="1"/>
        <v>32.619999999999997</v>
      </c>
      <c r="G43" s="185">
        <f t="shared" si="0"/>
        <v>65.25</v>
      </c>
      <c r="J43" s="128"/>
    </row>
    <row r="44" spans="1:10" ht="21.75" hidden="1" customHeight="1" x14ac:dyDescent="0.25">
      <c r="A44" s="656" t="s">
        <v>396</v>
      </c>
      <c r="B44" s="656"/>
      <c r="C44" s="185">
        <f>IF(I9=2,IF(E76=0,IF(J33&gt;C33,C33,J33),0),0)</f>
        <v>0</v>
      </c>
      <c r="D44" s="186"/>
      <c r="E44" s="186">
        <f>VLOOKUP(A44,TAUX2023,4,FALSE())</f>
        <v>1.4999999999999999E-2</v>
      </c>
      <c r="F44" s="187">
        <f t="shared" si="1"/>
        <v>0</v>
      </c>
      <c r="G44" s="192">
        <f t="shared" si="0"/>
        <v>0</v>
      </c>
      <c r="J44" s="128"/>
    </row>
    <row r="45" spans="1:10" ht="21.75" hidden="1" customHeight="1" x14ac:dyDescent="0.25">
      <c r="A45" s="701" t="s">
        <v>461</v>
      </c>
      <c r="B45" s="701"/>
      <c r="C45" s="189"/>
      <c r="D45" s="186">
        <f>VLOOKUP(A45,TAUX2023,3,FALSE())</f>
        <v>0</v>
      </c>
      <c r="E45" s="186">
        <f>VLOOKUP(A45,TAUX2023,4,FALSE())</f>
        <v>0</v>
      </c>
      <c r="F45" s="187">
        <f t="shared" si="1"/>
        <v>0</v>
      </c>
      <c r="G45" s="185">
        <f t="shared" si="0"/>
        <v>0</v>
      </c>
      <c r="J45" s="128"/>
    </row>
    <row r="46" spans="1:10" ht="21.75" hidden="1" customHeight="1" x14ac:dyDescent="0.25">
      <c r="A46" s="701" t="s">
        <v>462</v>
      </c>
      <c r="B46" s="701"/>
      <c r="C46" s="185"/>
      <c r="D46" s="186">
        <f>VLOOKUP(A46,TAUX2023,3,FALSE())</f>
        <v>0</v>
      </c>
      <c r="E46" s="186">
        <f>VLOOKUP(A46,TAUX2023,4,FALSE())</f>
        <v>0</v>
      </c>
      <c r="F46" s="187">
        <f t="shared" si="1"/>
        <v>0</v>
      </c>
      <c r="G46" s="185">
        <f t="shared" si="0"/>
        <v>0</v>
      </c>
      <c r="J46" s="128"/>
    </row>
    <row r="47" spans="1:10" ht="21.75" hidden="1" customHeight="1" x14ac:dyDescent="0.25">
      <c r="A47" s="702"/>
      <c r="B47" s="702"/>
      <c r="C47" s="185"/>
      <c r="D47" s="186"/>
      <c r="E47" s="186"/>
      <c r="F47" s="187">
        <f t="shared" si="1"/>
        <v>0</v>
      </c>
      <c r="G47" s="185">
        <f t="shared" si="0"/>
        <v>0</v>
      </c>
      <c r="J47" s="128"/>
    </row>
    <row r="48" spans="1:10" ht="21.75" hidden="1" customHeight="1" x14ac:dyDescent="0.25">
      <c r="A48" s="6"/>
      <c r="B48" s="6"/>
      <c r="C48" s="185"/>
      <c r="D48" s="191"/>
      <c r="E48" s="191"/>
      <c r="F48" s="187">
        <f t="shared" si="1"/>
        <v>0</v>
      </c>
      <c r="G48" s="185">
        <f t="shared" si="0"/>
        <v>0</v>
      </c>
      <c r="J48" s="128"/>
    </row>
    <row r="49" spans="1:17" ht="21" customHeight="1" x14ac:dyDescent="0.25">
      <c r="A49" s="703" t="s">
        <v>398</v>
      </c>
      <c r="B49" s="703"/>
      <c r="C49" s="193">
        <f>J33</f>
        <v>3262.3</v>
      </c>
      <c r="D49" s="186"/>
      <c r="E49" s="186">
        <f>'Masque de Saisie'!H23</f>
        <v>1.4999999999999999E-2</v>
      </c>
      <c r="F49" s="187"/>
      <c r="G49" s="185">
        <f t="shared" si="0"/>
        <v>48.93</v>
      </c>
      <c r="J49" s="128"/>
      <c r="L49" s="704"/>
    </row>
    <row r="50" spans="1:17" ht="19.5" customHeight="1" x14ac:dyDescent="0.25">
      <c r="A50" s="703" t="s">
        <v>399</v>
      </c>
      <c r="B50" s="703"/>
      <c r="C50" s="194"/>
      <c r="D50" s="186"/>
      <c r="E50" s="186"/>
      <c r="F50" s="187"/>
      <c r="G50" s="185"/>
      <c r="L50" s="704"/>
    </row>
    <row r="51" spans="1:17" ht="18.75" customHeight="1" x14ac:dyDescent="0.25">
      <c r="A51" s="691" t="s">
        <v>400</v>
      </c>
      <c r="B51" s="691"/>
      <c r="C51" s="185">
        <f>IF(J33&gt;C33,C33,J33)</f>
        <v>3262.3</v>
      </c>
      <c r="D51" s="186">
        <f>VLOOKUP(A51,TAUX2023,3,FALSE())</f>
        <v>6.9000000000000006E-2</v>
      </c>
      <c r="E51" s="186">
        <f>VLOOKUP(A51,TAUX2023,4,FALSE())</f>
        <v>8.5500000000000007E-2</v>
      </c>
      <c r="F51" s="187">
        <f t="shared" ref="F51:F56" si="2">ROUND(C51*D51,2)</f>
        <v>225.1</v>
      </c>
      <c r="G51" s="185">
        <f t="shared" ref="G51:G56" si="3">ROUND(C51*E51,2)</f>
        <v>278.93</v>
      </c>
    </row>
    <row r="52" spans="1:17" ht="18" customHeight="1" x14ac:dyDescent="0.25">
      <c r="A52" s="691" t="s">
        <v>401</v>
      </c>
      <c r="B52" s="691"/>
      <c r="C52" s="185">
        <f>J33</f>
        <v>3262.3</v>
      </c>
      <c r="D52" s="186">
        <f>VLOOKUP(A52,TAUX2023,3,FALSE())</f>
        <v>4.0000000000000001E-3</v>
      </c>
      <c r="E52" s="186">
        <f>VLOOKUP(A52,TAUX2023,4,FALSE())</f>
        <v>2.0199999999999999E-2</v>
      </c>
      <c r="F52" s="187">
        <f t="shared" si="2"/>
        <v>13.05</v>
      </c>
      <c r="G52" s="185">
        <f t="shared" si="3"/>
        <v>65.900000000000006</v>
      </c>
    </row>
    <row r="53" spans="1:17" ht="14.25" customHeight="1" x14ac:dyDescent="0.3">
      <c r="A53" s="691" t="s">
        <v>402</v>
      </c>
      <c r="B53" s="691"/>
      <c r="C53" s="185">
        <f>IF(J33&gt;C33,C33,J33)</f>
        <v>3262.3</v>
      </c>
      <c r="D53" s="195">
        <f>IF(J33&gt;C33,'TABLE DES TAUX 2025 '!E73,'TABLE DES TAUX 2025 '!C73)</f>
        <v>4.0099999999999997E-2</v>
      </c>
      <c r="E53" s="195">
        <f>IF(J33&gt;C33,'TABLE DES TAUX 2025 '!F73,'TABLE DES TAUX 2025 '!D73)</f>
        <v>6.0100000000000001E-2</v>
      </c>
      <c r="F53" s="187">
        <f t="shared" si="2"/>
        <v>130.82</v>
      </c>
      <c r="G53" s="185">
        <f t="shared" si="3"/>
        <v>196.06</v>
      </c>
      <c r="H53" s="196"/>
      <c r="I53" s="197"/>
      <c r="J53" s="198"/>
      <c r="K53" s="198"/>
      <c r="M53" s="705"/>
      <c r="N53" s="705"/>
      <c r="O53" s="705"/>
    </row>
    <row r="54" spans="1:17" ht="14.25" hidden="1" customHeight="1" x14ac:dyDescent="0.3">
      <c r="A54" s="691" t="s">
        <v>403</v>
      </c>
      <c r="B54" s="691"/>
      <c r="C54" s="185">
        <f>IF(J33&gt;C33,IF(J33&gt;8*C33,7*C33,J33-C33),0)</f>
        <v>0</v>
      </c>
      <c r="D54" s="195">
        <f>IF(J33&gt;C33,'TABLE DES TAUX 2025 '!E79,0)</f>
        <v>0</v>
      </c>
      <c r="E54" s="195">
        <f>IF(J33&gt;C33,'TABLE DES TAUX 2025 '!F79,0)</f>
        <v>0</v>
      </c>
      <c r="F54" s="187">
        <f t="shared" si="2"/>
        <v>0</v>
      </c>
      <c r="G54" s="185">
        <f t="shared" si="3"/>
        <v>0</v>
      </c>
      <c r="H54" s="196"/>
      <c r="I54" s="197"/>
      <c r="J54" s="198"/>
      <c r="K54" s="198"/>
      <c r="M54" s="698"/>
      <c r="N54" s="698"/>
      <c r="O54" s="200"/>
      <c r="P54" s="201"/>
      <c r="Q54" s="200"/>
    </row>
    <row r="55" spans="1:17" ht="14.25" hidden="1" customHeight="1" x14ac:dyDescent="0.3">
      <c r="A55" s="699"/>
      <c r="B55" s="699"/>
      <c r="C55" s="185"/>
      <c r="D55" s="195"/>
      <c r="E55" s="195">
        <f>IF(I33&gt;B32,'TABLE DES TAUX 2025 '!F78,0)</f>
        <v>0</v>
      </c>
      <c r="F55" s="187">
        <f t="shared" si="2"/>
        <v>0</v>
      </c>
      <c r="G55" s="185">
        <f t="shared" si="3"/>
        <v>0</v>
      </c>
      <c r="H55" s="196"/>
      <c r="I55" s="197"/>
      <c r="J55" s="198"/>
      <c r="K55" s="198"/>
      <c r="M55" s="199"/>
      <c r="N55" s="199"/>
      <c r="O55" s="200"/>
      <c r="P55" s="201"/>
      <c r="Q55" s="200"/>
    </row>
    <row r="56" spans="1:17" ht="14.25" hidden="1" customHeight="1" x14ac:dyDescent="0.3">
      <c r="A56" s="699"/>
      <c r="B56" s="699"/>
      <c r="C56" s="185"/>
      <c r="D56" s="195"/>
      <c r="E56" s="195">
        <f>IF(I34&gt;B33,'TABLE DES TAUX 2025 '!F79,0)</f>
        <v>0</v>
      </c>
      <c r="F56" s="187">
        <f t="shared" si="2"/>
        <v>0</v>
      </c>
      <c r="G56" s="185">
        <f t="shared" si="3"/>
        <v>0</v>
      </c>
      <c r="H56" s="196"/>
      <c r="I56" s="197"/>
      <c r="J56" s="198"/>
      <c r="K56" s="198"/>
      <c r="M56" s="199"/>
      <c r="N56" s="199"/>
      <c r="O56" s="200"/>
      <c r="P56" s="201"/>
      <c r="Q56" s="200"/>
    </row>
    <row r="57" spans="1:17" ht="14.25" customHeight="1" x14ac:dyDescent="0.3">
      <c r="A57" s="694" t="s">
        <v>404</v>
      </c>
      <c r="B57" s="694"/>
      <c r="C57" s="185"/>
      <c r="D57" s="186"/>
      <c r="E57" s="195"/>
      <c r="F57" s="187"/>
      <c r="G57" s="185"/>
      <c r="H57" s="196"/>
      <c r="I57" s="700"/>
      <c r="J57" s="700"/>
      <c r="M57" s="696"/>
      <c r="N57" s="696"/>
      <c r="P57" s="204"/>
      <c r="Q57" s="188"/>
    </row>
    <row r="58" spans="1:17" ht="18" customHeight="1" x14ac:dyDescent="0.3">
      <c r="A58" s="691" t="s">
        <v>463</v>
      </c>
      <c r="B58" s="691"/>
      <c r="C58" s="185">
        <f>J33</f>
        <v>3262.3</v>
      </c>
      <c r="D58" s="186"/>
      <c r="E58" s="205">
        <f>VLOOKUP(A58,TAUX2023,4,FALSE())</f>
        <v>3.4500000000000003E-2</v>
      </c>
      <c r="F58" s="187"/>
      <c r="G58" s="185">
        <f>ROUND(C58*E58,2)</f>
        <v>112.55</v>
      </c>
      <c r="H58" s="196"/>
      <c r="I58" s="202"/>
      <c r="J58" s="202"/>
      <c r="M58" s="203"/>
      <c r="N58" s="203"/>
      <c r="P58" s="204"/>
      <c r="Q58" s="188"/>
    </row>
    <row r="59" spans="1:17" ht="18" hidden="1" customHeight="1" x14ac:dyDescent="0.3">
      <c r="A59" s="691" t="s">
        <v>406</v>
      </c>
      <c r="B59" s="691"/>
      <c r="C59" s="185">
        <f>IF(J33&gt;3.3*B10*'TABLE DES TAUX 2025 '!D53,J33,0)</f>
        <v>0</v>
      </c>
      <c r="D59" s="186"/>
      <c r="E59" s="205">
        <f>VLOOKUP(A59,TAUX2023,4,FALSE())</f>
        <v>1.7999999999999999E-2</v>
      </c>
      <c r="F59" s="187"/>
      <c r="G59" s="185">
        <f>ROUND(C59*E59,2)</f>
        <v>0</v>
      </c>
      <c r="H59" s="196"/>
      <c r="I59" s="154"/>
      <c r="J59" s="202"/>
      <c r="M59" s="203"/>
      <c r="N59" s="203"/>
      <c r="P59" s="204"/>
      <c r="Q59" s="188"/>
    </row>
    <row r="60" spans="1:17" ht="18" customHeight="1" x14ac:dyDescent="0.3">
      <c r="A60" s="694" t="s">
        <v>407</v>
      </c>
      <c r="B60" s="694"/>
      <c r="C60" s="191"/>
      <c r="D60" s="206"/>
      <c r="E60" s="195"/>
      <c r="F60" s="187"/>
      <c r="G60" s="185"/>
      <c r="H60" s="207"/>
      <c r="I60" s="154"/>
      <c r="J60" s="202"/>
      <c r="M60" s="696"/>
      <c r="N60" s="696"/>
      <c r="Q60" s="80">
        <f>'[2]TABLE DES TAUX 2019'!C12+'[2]TABLE DES TAUX 2019'!C14+'[2]TABLE DES TAUX 2019'!C35+'[2]TABLE DES TAUX 2019'!C37</f>
        <v>1.546</v>
      </c>
    </row>
    <row r="61" spans="1:17" ht="18" customHeight="1" x14ac:dyDescent="0.3">
      <c r="A61" s="691" t="s">
        <v>464</v>
      </c>
      <c r="B61" s="691"/>
      <c r="C61" s="189">
        <f>IF(J33&gt;C33,IF(J33&gt;4*C33,4*C33,J33),J33)</f>
        <v>3262.3</v>
      </c>
      <c r="D61" s="195"/>
      <c r="E61" s="208">
        <f>IF(H10&gt;=45778,4%,4.05%)+'TABLE DES TAUX 2025 '!E14</f>
        <v>4.2500000000000003E-2</v>
      </c>
      <c r="F61" s="187"/>
      <c r="G61" s="185">
        <f>ROUND(C61*E61,2)</f>
        <v>138.65</v>
      </c>
      <c r="H61" s="207"/>
      <c r="I61" s="154"/>
      <c r="J61" s="202"/>
      <c r="M61" s="203"/>
      <c r="N61" s="203"/>
    </row>
    <row r="62" spans="1:17" ht="0.75" customHeight="1" x14ac:dyDescent="0.3">
      <c r="A62" s="691"/>
      <c r="B62" s="691"/>
      <c r="C62" s="189"/>
      <c r="D62" s="195"/>
      <c r="E62" s="208"/>
      <c r="F62" s="187">
        <f>ROUND(C62*D62,2)</f>
        <v>0</v>
      </c>
      <c r="G62" s="185">
        <f>ROUND(C62*E62,2)</f>
        <v>0</v>
      </c>
      <c r="H62" s="207"/>
      <c r="I62" s="154"/>
      <c r="J62" s="202"/>
      <c r="M62" s="203"/>
      <c r="N62" s="203"/>
    </row>
    <row r="63" spans="1:17" ht="17.25" customHeight="1" x14ac:dyDescent="0.3">
      <c r="A63" s="691" t="s">
        <v>409</v>
      </c>
      <c r="B63" s="691"/>
      <c r="C63" s="189">
        <f>IF(I9=2,C61,0)</f>
        <v>3262.3</v>
      </c>
      <c r="D63" s="209">
        <f>VLOOKUP(A63,TAUX2023,3,FALSE())</f>
        <v>2.4000000000000001E-4</v>
      </c>
      <c r="E63" s="209">
        <f>VLOOKUP(A63,TAUX2023,4,FALSE())</f>
        <v>3.6000000000000002E-4</v>
      </c>
      <c r="F63" s="187">
        <f>ROUND(C63*D63,2)</f>
        <v>0.78</v>
      </c>
      <c r="G63" s="185">
        <f>ROUND(C63*E63,2)</f>
        <v>1.17</v>
      </c>
      <c r="H63" s="207"/>
      <c r="J63" s="128"/>
      <c r="M63" s="203"/>
      <c r="N63" s="203"/>
    </row>
    <row r="64" spans="1:17" ht="26.25" customHeight="1" x14ac:dyDescent="0.3">
      <c r="A64" s="694" t="s">
        <v>410</v>
      </c>
      <c r="B64" s="694"/>
      <c r="C64" s="185"/>
      <c r="D64" s="185"/>
      <c r="E64" s="187"/>
      <c r="F64" s="187"/>
      <c r="G64" s="185">
        <f>E134</f>
        <v>98.38</v>
      </c>
      <c r="M64" s="696"/>
      <c r="N64" s="696"/>
      <c r="O64" s="196"/>
    </row>
    <row r="65" spans="1:11" ht="34.5" hidden="1" customHeight="1" x14ac:dyDescent="0.25">
      <c r="A65" s="697" t="s">
        <v>411</v>
      </c>
      <c r="B65" s="697"/>
      <c r="C65" s="210"/>
      <c r="D65" s="211"/>
      <c r="E65" s="212"/>
      <c r="F65" s="187"/>
      <c r="G65" s="185"/>
      <c r="I65" s="154"/>
      <c r="J65" s="202"/>
    </row>
    <row r="66" spans="1:11" ht="22.5" customHeight="1" x14ac:dyDescent="0.25">
      <c r="A66" s="693" t="s">
        <v>412</v>
      </c>
      <c r="B66" s="693"/>
      <c r="C66" s="185">
        <f>'HEURES SUPPLEMENTAIRES '!F136</f>
        <v>3335.7097500000004</v>
      </c>
      <c r="D66" s="186">
        <f>VLOOKUP(A66,TAUX2023,3,FALSE())</f>
        <v>6.8000000000000005E-2</v>
      </c>
      <c r="E66" s="185"/>
      <c r="F66" s="187">
        <f t="shared" ref="F66:F71" si="4">ROUND(C66*D66,2)</f>
        <v>226.83</v>
      </c>
      <c r="G66" s="185"/>
      <c r="I66" s="154"/>
      <c r="J66" s="202"/>
    </row>
    <row r="67" spans="1:11" ht="21.75" customHeight="1" x14ac:dyDescent="0.25">
      <c r="A67" s="693" t="s">
        <v>413</v>
      </c>
      <c r="B67" s="693"/>
      <c r="C67" s="185">
        <f>C66</f>
        <v>3335.7097500000004</v>
      </c>
      <c r="D67" s="186">
        <f>VLOOKUP(A67,TAUX2023,3,FALSE())</f>
        <v>2.9000000000000001E-2</v>
      </c>
      <c r="E67" s="185"/>
      <c r="F67" s="187">
        <f t="shared" si="4"/>
        <v>96.74</v>
      </c>
      <c r="G67" s="185"/>
      <c r="I67" s="154"/>
      <c r="J67" s="202"/>
      <c r="K67" s="188"/>
    </row>
    <row r="68" spans="1:11" ht="22.5" hidden="1" customHeight="1" x14ac:dyDescent="0.25">
      <c r="A68" s="693" t="s">
        <v>465</v>
      </c>
      <c r="B68" s="693"/>
      <c r="C68" s="185">
        <f>'HEURES SUPPLEMENTAIRES '!F137</f>
        <v>0</v>
      </c>
      <c r="D68" s="186">
        <f>D66</f>
        <v>6.8000000000000005E-2</v>
      </c>
      <c r="E68" s="185"/>
      <c r="F68" s="187">
        <f t="shared" si="4"/>
        <v>0</v>
      </c>
      <c r="G68" s="185"/>
      <c r="J68" s="188"/>
      <c r="K68" s="188"/>
    </row>
    <row r="69" spans="1:11" ht="21" hidden="1" customHeight="1" x14ac:dyDescent="0.25">
      <c r="A69" s="693" t="s">
        <v>466</v>
      </c>
      <c r="B69" s="693"/>
      <c r="C69" s="185">
        <f>'HEURES SUPPLEMENTAIRES '!F138</f>
        <v>0</v>
      </c>
      <c r="D69" s="186">
        <f>D66</f>
        <v>6.8000000000000005E-2</v>
      </c>
      <c r="E69" s="185"/>
      <c r="F69" s="187">
        <f t="shared" si="4"/>
        <v>0</v>
      </c>
      <c r="G69" s="185"/>
      <c r="J69" s="188"/>
      <c r="K69" s="188"/>
    </row>
    <row r="70" spans="1:11" ht="27" hidden="1" customHeight="1" x14ac:dyDescent="0.25">
      <c r="A70" s="693" t="s">
        <v>467</v>
      </c>
      <c r="B70" s="693"/>
      <c r="C70" s="185">
        <f>+C68+C69</f>
        <v>0</v>
      </c>
      <c r="D70" s="186">
        <f>D67</f>
        <v>2.9000000000000001E-2</v>
      </c>
      <c r="E70" s="185"/>
      <c r="F70" s="187">
        <f t="shared" si="4"/>
        <v>0</v>
      </c>
      <c r="G70" s="185"/>
      <c r="J70" s="188"/>
      <c r="K70" s="188"/>
    </row>
    <row r="71" spans="1:11" ht="24.75" customHeight="1" x14ac:dyDescent="0.25">
      <c r="A71" s="694" t="s">
        <v>468</v>
      </c>
      <c r="B71" s="694"/>
      <c r="C71" s="213"/>
      <c r="D71" s="213"/>
      <c r="E71" s="214"/>
      <c r="F71" s="187">
        <f t="shared" si="4"/>
        <v>0</v>
      </c>
      <c r="G71" s="215">
        <f>-'HEURES SUPPLEMENTAIRES '!A145-'Red Gen de CoBP Format Juillet'!J16</f>
        <v>0</v>
      </c>
      <c r="J71" s="188"/>
      <c r="K71" s="188"/>
    </row>
    <row r="72" spans="1:11" ht="24.75" customHeight="1" x14ac:dyDescent="0.25">
      <c r="A72" s="691" t="s">
        <v>278</v>
      </c>
      <c r="B72" s="691"/>
      <c r="C72" s="185">
        <f>'HEURES SUPPLEMENTAIRES '!E57</f>
        <v>0</v>
      </c>
      <c r="D72" s="216">
        <f>+'HEURES SUPPLEMENTAIRES '!D57</f>
        <v>0.11310000000000001</v>
      </c>
      <c r="E72" s="217"/>
      <c r="F72" s="187">
        <f>-ROUND(C72*D72,2)</f>
        <v>0</v>
      </c>
      <c r="G72" s="218"/>
      <c r="J72" s="188"/>
      <c r="K72" s="188"/>
    </row>
    <row r="73" spans="1:11" ht="24.75" customHeight="1" x14ac:dyDescent="0.25">
      <c r="A73" s="691" t="s">
        <v>415</v>
      </c>
      <c r="B73" s="691"/>
      <c r="C73" s="185"/>
      <c r="D73" s="185"/>
      <c r="E73" s="187"/>
      <c r="F73" s="219">
        <f>SUM(F37:F72)</f>
        <v>725.93999999999994</v>
      </c>
      <c r="G73" s="220">
        <f>SUM(G37:G72)</f>
        <v>1234.1800000000003</v>
      </c>
      <c r="J73" s="188"/>
    </row>
    <row r="74" spans="1:11" ht="19.5" customHeight="1" x14ac:dyDescent="0.25">
      <c r="A74" s="695" t="s">
        <v>469</v>
      </c>
      <c r="B74" s="695"/>
      <c r="C74" s="185"/>
      <c r="D74" s="185"/>
      <c r="E74" s="187"/>
      <c r="F74" s="187"/>
      <c r="G74" s="185"/>
      <c r="H74" s="188"/>
      <c r="I74" s="188"/>
    </row>
    <row r="75" spans="1:11" ht="21" hidden="1" customHeight="1" x14ac:dyDescent="0.25">
      <c r="A75" s="691" t="s">
        <v>394</v>
      </c>
      <c r="B75" s="691"/>
      <c r="C75" s="185">
        <f>IF(I9=1,J33,0)</f>
        <v>0</v>
      </c>
      <c r="D75" s="186">
        <f>'Masque de Saisie'!G13</f>
        <v>0</v>
      </c>
      <c r="E75" s="186">
        <f>'Masque de Saisie'!H13</f>
        <v>0</v>
      </c>
      <c r="F75" s="187">
        <f>ROUND(C75*D75,2)</f>
        <v>0</v>
      </c>
      <c r="G75" s="192">
        <f>ROUND(C75*E75,2)</f>
        <v>0</v>
      </c>
      <c r="I75" s="188"/>
    </row>
    <row r="76" spans="1:11" ht="21" customHeight="1" x14ac:dyDescent="0.25">
      <c r="A76" s="691" t="s">
        <v>395</v>
      </c>
      <c r="B76" s="691"/>
      <c r="C76" s="185">
        <f>IF(I9=2,J33,0)</f>
        <v>3262.3</v>
      </c>
      <c r="D76" s="186">
        <f>'Masque de Saisie'!G17</f>
        <v>0.01</v>
      </c>
      <c r="E76" s="186">
        <f>'Masque de Saisie'!H17</f>
        <v>0.02</v>
      </c>
      <c r="F76" s="187">
        <f>ROUND(C76*D76,2)</f>
        <v>32.619999999999997</v>
      </c>
      <c r="G76" s="192">
        <f>ROUND(C76*E76,2)</f>
        <v>65.25</v>
      </c>
      <c r="I76" s="221"/>
      <c r="J76" s="222"/>
      <c r="K76" s="221"/>
    </row>
    <row r="77" spans="1:11" ht="21" hidden="1" customHeight="1" x14ac:dyDescent="0.25">
      <c r="I77" s="221"/>
      <c r="J77" s="222"/>
      <c r="K77" s="221"/>
    </row>
    <row r="78" spans="1:11" ht="21" hidden="1" customHeight="1" x14ac:dyDescent="0.25">
      <c r="A78" s="656" t="s">
        <v>470</v>
      </c>
      <c r="B78" s="656"/>
      <c r="C78" s="185"/>
      <c r="D78" s="186">
        <f>'Masque de Saisie'!G17</f>
        <v>0.01</v>
      </c>
      <c r="E78" s="186">
        <f>'Masque de Saisie'!H16</f>
        <v>0</v>
      </c>
      <c r="F78" s="187">
        <f>ROUND(C78*D78,2)</f>
        <v>0</v>
      </c>
      <c r="G78" s="192">
        <f>ROUND(C78*E78,2)</f>
        <v>0</v>
      </c>
      <c r="K78" s="188"/>
    </row>
    <row r="79" spans="1:11" ht="21" customHeight="1" x14ac:dyDescent="0.25">
      <c r="A79" s="692" t="s">
        <v>471</v>
      </c>
      <c r="B79" s="692"/>
      <c r="C79" s="191"/>
      <c r="D79" s="206"/>
      <c r="E79" s="206"/>
      <c r="F79" s="223">
        <f>J33-F73-F75-F76+F83</f>
        <v>2503.7400000000002</v>
      </c>
      <c r="G79" s="191"/>
      <c r="K79" s="188"/>
    </row>
    <row r="80" spans="1:11" ht="15.75" customHeight="1" x14ac:dyDescent="0.25">
      <c r="A80" s="651" t="s">
        <v>416</v>
      </c>
      <c r="B80" s="651"/>
      <c r="C80" s="149"/>
      <c r="D80" s="149"/>
      <c r="E80" s="150"/>
      <c r="F80" s="149">
        <v>98</v>
      </c>
      <c r="G80" s="150"/>
    </row>
    <row r="81" spans="1:12" ht="22.5" customHeight="1" x14ac:dyDescent="0.25">
      <c r="A81" s="651" t="s">
        <v>417</v>
      </c>
      <c r="B81" s="651"/>
      <c r="C81" s="149"/>
      <c r="D81" s="149"/>
      <c r="E81" s="150"/>
      <c r="F81" s="120">
        <v>300</v>
      </c>
      <c r="G81" s="150"/>
    </row>
    <row r="82" spans="1:12" ht="18" customHeight="1" x14ac:dyDescent="0.3">
      <c r="A82" s="651" t="s">
        <v>418</v>
      </c>
      <c r="B82" s="651"/>
      <c r="C82" s="149"/>
      <c r="D82" s="149"/>
      <c r="E82" s="150"/>
      <c r="F82" s="120">
        <f>'ENONCE 2025'!F88</f>
        <v>210</v>
      </c>
      <c r="G82" s="150"/>
      <c r="I82" s="151"/>
      <c r="J82" s="152"/>
      <c r="K82" s="151"/>
    </row>
    <row r="83" spans="1:12" ht="13.8" hidden="1" customHeight="1" x14ac:dyDescent="0.25">
      <c r="A83" s="691" t="s">
        <v>419</v>
      </c>
      <c r="B83" s="691"/>
      <c r="C83" s="224"/>
      <c r="D83" s="225"/>
      <c r="E83" s="225"/>
      <c r="F83" s="226"/>
      <c r="G83" s="227"/>
      <c r="K83" s="188"/>
    </row>
    <row r="84" spans="1:12" customFormat="1" ht="23.25" customHeight="1" x14ac:dyDescent="0.3">
      <c r="A84" s="684" t="s">
        <v>420</v>
      </c>
      <c r="B84" s="684"/>
      <c r="C84" s="684"/>
      <c r="D84" s="684"/>
      <c r="E84" s="684"/>
      <c r="F84" s="684"/>
      <c r="G84" s="684"/>
      <c r="H84" s="684"/>
      <c r="I84" s="684"/>
      <c r="J84" s="685">
        <f>J33-F73-F75-F76-F44-F78+F80+F81+F82+F83-J32</f>
        <v>3049.44</v>
      </c>
      <c r="K84" s="685"/>
      <c r="L84" s="685"/>
    </row>
    <row r="85" spans="1:12" customFormat="1" ht="18" customHeight="1" x14ac:dyDescent="0.3">
      <c r="A85" s="684" t="s">
        <v>472</v>
      </c>
      <c r="B85" s="684"/>
      <c r="C85" s="684"/>
      <c r="D85" s="684"/>
      <c r="E85" s="684"/>
      <c r="F85" s="684"/>
      <c r="G85" s="684"/>
      <c r="H85" s="684"/>
      <c r="I85" s="684"/>
      <c r="J85" s="685">
        <f>'HEURES SUPPLEMENTAIRES '!E100</f>
        <v>2665.73</v>
      </c>
      <c r="K85" s="685"/>
      <c r="L85" s="685"/>
    </row>
    <row r="86" spans="1:12" customFormat="1" ht="23.25" customHeight="1" x14ac:dyDescent="0.3">
      <c r="A86" s="686" t="s">
        <v>473</v>
      </c>
      <c r="B86" s="686"/>
      <c r="C86" s="686"/>
      <c r="D86" s="686"/>
      <c r="E86" s="686"/>
      <c r="F86" s="686"/>
      <c r="G86" s="686"/>
      <c r="H86" s="686"/>
      <c r="I86" s="686"/>
      <c r="J86" s="685">
        <f>'HEURES SUPPLEMENTAIRES '!E57-F68</f>
        <v>0</v>
      </c>
      <c r="K86" s="685"/>
      <c r="L86" s="175"/>
    </row>
    <row r="87" spans="1:12" customFormat="1" ht="23.25" customHeight="1" x14ac:dyDescent="0.3">
      <c r="A87" s="686" t="s">
        <v>474</v>
      </c>
      <c r="B87" s="686"/>
      <c r="C87" s="686"/>
      <c r="D87" s="686"/>
      <c r="E87" s="686"/>
      <c r="F87" s="686"/>
      <c r="G87" s="686"/>
      <c r="H87" s="686"/>
      <c r="I87" s="686"/>
      <c r="J87" s="228">
        <f>'HEURES SUPPLEMENTAIRES '!G57</f>
        <v>0</v>
      </c>
      <c r="K87" s="229"/>
      <c r="L87" s="230"/>
    </row>
    <row r="88" spans="1:12" customFormat="1" ht="23.25" customHeight="1" x14ac:dyDescent="0.3">
      <c r="A88" s="687" t="s">
        <v>475</v>
      </c>
      <c r="B88" s="687"/>
      <c r="C88" s="687"/>
      <c r="D88" s="639" t="s">
        <v>212</v>
      </c>
      <c r="E88" s="639"/>
      <c r="F88" s="639" t="s">
        <v>423</v>
      </c>
      <c r="G88" s="639"/>
      <c r="H88" s="157" t="s">
        <v>424</v>
      </c>
      <c r="I88" s="231"/>
      <c r="J88" s="688" t="s">
        <v>476</v>
      </c>
      <c r="K88" s="688"/>
      <c r="L88" s="6"/>
    </row>
    <row r="89" spans="1:12" customFormat="1" ht="20.25" customHeight="1" x14ac:dyDescent="0.3">
      <c r="A89" s="687"/>
      <c r="B89" s="687"/>
      <c r="C89" s="687"/>
      <c r="D89" s="689">
        <f>J85</f>
        <v>2665.73</v>
      </c>
      <c r="E89" s="689"/>
      <c r="F89" s="690">
        <f>'TAUX NEUTRE '!H12</f>
        <v>5.2999999999999999E-2</v>
      </c>
      <c r="G89" s="690"/>
      <c r="H89" s="233">
        <f>ROUND(D89*F89,2)</f>
        <v>141.28</v>
      </c>
      <c r="I89" s="231"/>
      <c r="J89" s="6"/>
      <c r="K89" s="6"/>
      <c r="L89" s="6"/>
    </row>
    <row r="90" spans="1:12" customFormat="1" ht="14.4" x14ac:dyDescent="0.3">
      <c r="A90" s="680" t="s">
        <v>477</v>
      </c>
      <c r="B90" s="680"/>
      <c r="C90" s="680"/>
      <c r="D90" s="680"/>
      <c r="E90" s="680"/>
      <c r="F90" s="680"/>
      <c r="G90" s="680"/>
      <c r="H90" s="680"/>
      <c r="I90" s="680"/>
      <c r="J90" s="681">
        <f>J84-H89</f>
        <v>2908.16</v>
      </c>
      <c r="K90" s="681"/>
      <c r="L90" s="681"/>
    </row>
    <row r="91" spans="1:12" customFormat="1" ht="14.4" x14ac:dyDescent="0.3">
      <c r="A91" s="680" t="s">
        <v>478</v>
      </c>
      <c r="B91" s="680"/>
      <c r="C91" s="680"/>
      <c r="D91" s="680"/>
      <c r="E91" s="680"/>
      <c r="F91" s="680"/>
      <c r="G91" s="680"/>
      <c r="H91" s="680"/>
      <c r="I91" s="680"/>
      <c r="J91" s="682">
        <f>-G71+IF(C59=0,J33*1.8%,0) +IF(C38=0,J33*6%,0)</f>
        <v>254.45940000000002</v>
      </c>
      <c r="K91" s="682"/>
      <c r="L91" s="682"/>
    </row>
    <row r="92" spans="1:12" customFormat="1" ht="14.4" x14ac:dyDescent="0.3">
      <c r="A92" s="680" t="s">
        <v>425</v>
      </c>
      <c r="B92" s="680"/>
      <c r="C92" s="680"/>
      <c r="D92" s="680"/>
      <c r="E92" s="680"/>
      <c r="F92" s="680"/>
      <c r="G92" s="680"/>
      <c r="H92" s="680"/>
      <c r="I92" s="680"/>
      <c r="J92" s="681">
        <f>G73+J33+G75+G76+G44+G78</f>
        <v>4561.7300000000005</v>
      </c>
      <c r="K92" s="681"/>
      <c r="L92" s="681"/>
    </row>
    <row r="93" spans="1:12" customFormat="1" ht="13.8" customHeight="1" x14ac:dyDescent="0.3">
      <c r="A93" s="156"/>
      <c r="B93" s="233" t="s">
        <v>428</v>
      </c>
      <c r="C93" s="233" t="s">
        <v>429</v>
      </c>
      <c r="D93" s="683" t="s">
        <v>430</v>
      </c>
      <c r="E93" s="683"/>
      <c r="F93" s="683" t="s">
        <v>431</v>
      </c>
      <c r="G93" s="683"/>
      <c r="H93" s="168"/>
      <c r="I93" s="168"/>
      <c r="J93" s="159"/>
      <c r="K93" s="160"/>
      <c r="L93" s="160"/>
    </row>
    <row r="94" spans="1:12" customFormat="1" ht="21" customHeight="1" x14ac:dyDescent="0.3">
      <c r="A94" s="235" t="s">
        <v>432</v>
      </c>
      <c r="B94" s="162">
        <f>H89</f>
        <v>141.28</v>
      </c>
      <c r="C94" s="162"/>
      <c r="D94" s="233" t="s">
        <v>433</v>
      </c>
      <c r="E94" s="162"/>
      <c r="F94" s="233" t="s">
        <v>434</v>
      </c>
      <c r="G94" s="162"/>
      <c r="H94" s="233"/>
      <c r="I94" s="168"/>
      <c r="J94" s="159"/>
      <c r="K94" s="160"/>
      <c r="L94" s="160"/>
    </row>
    <row r="95" spans="1:12" customFormat="1" ht="21" customHeight="1" x14ac:dyDescent="0.3">
      <c r="A95" s="236" t="s">
        <v>435</v>
      </c>
      <c r="B95" s="166">
        <f>C72</f>
        <v>0</v>
      </c>
      <c r="C95" s="166"/>
      <c r="D95" s="233" t="s">
        <v>436</v>
      </c>
      <c r="E95" s="162"/>
      <c r="F95" s="233" t="s">
        <v>437</v>
      </c>
      <c r="G95" s="162"/>
      <c r="H95" s="168"/>
      <c r="I95" s="168"/>
      <c r="J95" s="159"/>
      <c r="K95" s="160"/>
      <c r="L95" s="160"/>
    </row>
    <row r="96" spans="1:12" customFormat="1" ht="17.25" customHeight="1" x14ac:dyDescent="0.3">
      <c r="A96" s="163" t="s">
        <v>438</v>
      </c>
      <c r="B96" s="166">
        <f>J33</f>
        <v>3262.3</v>
      </c>
      <c r="C96" s="166"/>
      <c r="D96" s="233" t="s">
        <v>439</v>
      </c>
      <c r="E96" s="162"/>
      <c r="F96" s="233" t="s">
        <v>439</v>
      </c>
      <c r="G96" s="162"/>
      <c r="H96" s="168"/>
      <c r="I96" s="168"/>
      <c r="J96" s="159"/>
      <c r="K96" s="160"/>
      <c r="L96" s="160"/>
    </row>
    <row r="97" spans="1:12" customFormat="1" ht="17.25" customHeight="1" x14ac:dyDescent="0.3">
      <c r="A97" s="163" t="s">
        <v>86</v>
      </c>
      <c r="B97" s="166">
        <f>+J85</f>
        <v>2665.73</v>
      </c>
      <c r="C97" s="166"/>
      <c r="D97" s="168"/>
      <c r="E97" s="168"/>
      <c r="F97" s="168"/>
      <c r="G97" s="168"/>
      <c r="H97" s="168"/>
      <c r="I97" s="168"/>
      <c r="J97" s="159"/>
      <c r="K97" s="160"/>
      <c r="L97" s="160"/>
    </row>
    <row r="98" spans="1:12" customFormat="1" ht="15" customHeight="1" x14ac:dyDescent="0.3">
      <c r="A98" s="632" t="s">
        <v>440</v>
      </c>
      <c r="B98" s="632"/>
      <c r="C98" s="632"/>
      <c r="D98" s="632"/>
      <c r="E98" s="632"/>
      <c r="F98" s="154"/>
      <c r="G98" s="154"/>
      <c r="H98" s="154"/>
      <c r="I98" s="154"/>
      <c r="J98" s="154"/>
      <c r="K98" s="154"/>
      <c r="L98" s="154"/>
    </row>
    <row r="99" spans="1:12" s="154" customFormat="1" ht="12" customHeight="1" x14ac:dyDescent="0.2">
      <c r="A99" s="169" t="s">
        <v>441</v>
      </c>
    </row>
    <row r="100" spans="1:12" s="154" customFormat="1" ht="12" customHeight="1" x14ac:dyDescent="0.2">
      <c r="A100" s="154" t="s">
        <v>479</v>
      </c>
    </row>
    <row r="101" spans="1:12" s="154" customFormat="1" ht="12" hidden="1" customHeight="1" x14ac:dyDescent="0.2">
      <c r="A101" s="169"/>
    </row>
    <row r="102" spans="1:12" s="154" customFormat="1" ht="12" hidden="1" customHeight="1" x14ac:dyDescent="0.25">
      <c r="A102" s="237" t="s">
        <v>454</v>
      </c>
      <c r="B102" s="238"/>
      <c r="C102" s="239">
        <v>7.4999999999999997E-3</v>
      </c>
      <c r="D102" s="240">
        <f>ROUND(J33*C102,2)</f>
        <v>24.47</v>
      </c>
      <c r="E102" s="179"/>
      <c r="F102" s="241"/>
      <c r="G102" s="178"/>
      <c r="H102" s="80"/>
      <c r="I102" s="80"/>
    </row>
    <row r="103" spans="1:12" ht="30.75" hidden="1" customHeight="1" x14ac:dyDescent="0.25">
      <c r="A103" s="237" t="s">
        <v>455</v>
      </c>
      <c r="B103" s="238"/>
      <c r="C103" s="242">
        <f>(2.4-0.95)%</f>
        <v>1.4499999999999999E-2</v>
      </c>
      <c r="D103" s="240">
        <f>ROUND(C61*C103,2)</f>
        <v>47.3</v>
      </c>
      <c r="F103" s="243"/>
    </row>
    <row r="104" spans="1:12" ht="30.75" hidden="1" customHeight="1" x14ac:dyDescent="0.25">
      <c r="A104" s="237" t="s">
        <v>480</v>
      </c>
      <c r="B104" s="238"/>
      <c r="D104" s="179">
        <f>D102+D103</f>
        <v>71.77</v>
      </c>
      <c r="F104" s="243"/>
    </row>
    <row r="105" spans="1:12" ht="30.75" hidden="1" customHeight="1" x14ac:dyDescent="0.25">
      <c r="A105" s="237" t="s">
        <v>481</v>
      </c>
      <c r="C105" s="179"/>
      <c r="F105" s="244"/>
    </row>
    <row r="106" spans="1:12" ht="30.75" hidden="1" customHeight="1" x14ac:dyDescent="0.25">
      <c r="A106" s="237"/>
      <c r="C106" s="179"/>
      <c r="F106" s="244"/>
    </row>
    <row r="107" spans="1:12" ht="30.75" hidden="1" customHeight="1" x14ac:dyDescent="0.25">
      <c r="A107" s="237" t="s">
        <v>458</v>
      </c>
      <c r="B107" s="245"/>
      <c r="C107" s="240">
        <v>1.7000000000000001E-2</v>
      </c>
      <c r="D107" s="240">
        <f>ROUND(C66*C107,2)</f>
        <v>56.71</v>
      </c>
      <c r="F107" s="244"/>
    </row>
    <row r="108" spans="1:12" ht="30.75" hidden="1" customHeight="1" x14ac:dyDescent="0.25">
      <c r="A108" s="246"/>
      <c r="B108" s="247"/>
      <c r="C108" s="248"/>
      <c r="D108" s="248"/>
      <c r="E108" s="248"/>
      <c r="F108" s="249"/>
    </row>
    <row r="109" spans="1:12" ht="30.75" hidden="1" customHeight="1" x14ac:dyDescent="0.25">
      <c r="A109" s="250" t="s">
        <v>482</v>
      </c>
      <c r="B109" s="251"/>
      <c r="C109" s="252"/>
      <c r="D109" s="252"/>
      <c r="E109" s="252"/>
      <c r="F109" s="253"/>
    </row>
    <row r="110" spans="1:12" ht="30.75" hidden="1" customHeight="1" x14ac:dyDescent="0.25">
      <c r="A110" s="254"/>
      <c r="B110" s="255"/>
      <c r="C110" s="256"/>
      <c r="F110" s="257"/>
    </row>
    <row r="111" spans="1:12" ht="30.75" hidden="1" customHeight="1" x14ac:dyDescent="0.25">
      <c r="A111" s="237" t="s">
        <v>454</v>
      </c>
      <c r="B111" s="238"/>
      <c r="C111" s="239">
        <v>7.4999999999999997E-3</v>
      </c>
      <c r="D111" s="240">
        <f>ROUND(J33*C111,2)</f>
        <v>24.47</v>
      </c>
      <c r="E111" s="178"/>
      <c r="F111" s="243"/>
    </row>
    <row r="112" spans="1:12" ht="30.75" hidden="1" customHeight="1" x14ac:dyDescent="0.25">
      <c r="A112" s="237" t="s">
        <v>455</v>
      </c>
      <c r="B112" s="238"/>
      <c r="C112" s="242">
        <f>(2.4)%</f>
        <v>2.4E-2</v>
      </c>
      <c r="D112" s="240">
        <f>ROUND(C61*C112,2)</f>
        <v>78.3</v>
      </c>
      <c r="E112" s="258"/>
      <c r="F112" s="243"/>
    </row>
    <row r="113" spans="1:18" ht="30.75" hidden="1" customHeight="1" x14ac:dyDescent="0.25">
      <c r="A113" s="237" t="s">
        <v>483</v>
      </c>
      <c r="B113" s="238"/>
      <c r="E113" s="258"/>
      <c r="F113" s="243"/>
    </row>
    <row r="114" spans="1:18" ht="30.75" hidden="1" customHeight="1" x14ac:dyDescent="0.25">
      <c r="A114" s="237" t="s">
        <v>481</v>
      </c>
      <c r="C114" s="179"/>
      <c r="E114" s="259">
        <f>D112+D111-D116</f>
        <v>46.059999999999995</v>
      </c>
      <c r="F114" s="243"/>
    </row>
    <row r="115" spans="1:18" ht="30.75" hidden="1" customHeight="1" x14ac:dyDescent="0.25">
      <c r="A115" s="237"/>
      <c r="C115" s="179"/>
      <c r="E115" s="258"/>
      <c r="F115" s="243"/>
    </row>
    <row r="116" spans="1:18" ht="30.75" hidden="1" customHeight="1" x14ac:dyDescent="0.25">
      <c r="A116" s="237" t="s">
        <v>458</v>
      </c>
      <c r="B116" s="245"/>
      <c r="C116" s="240">
        <v>1.7000000000000001E-2</v>
      </c>
      <c r="D116" s="240">
        <f>ROUND(C66*C116,2)</f>
        <v>56.71</v>
      </c>
      <c r="F116" s="243"/>
    </row>
    <row r="117" spans="1:18" ht="30.75" hidden="1" customHeight="1" x14ac:dyDescent="0.25">
      <c r="A117" s="260"/>
      <c r="B117" s="261"/>
      <c r="C117" s="262"/>
      <c r="D117" s="262"/>
      <c r="E117" s="262"/>
      <c r="F117" s="263"/>
    </row>
    <row r="118" spans="1:18" ht="30.75" hidden="1" customHeight="1" x14ac:dyDescent="0.25">
      <c r="B118" s="238"/>
    </row>
    <row r="119" spans="1:18" ht="30.75" customHeight="1" x14ac:dyDescent="0.3">
      <c r="A119" s="23" t="s">
        <v>442</v>
      </c>
    </row>
    <row r="120" spans="1:18" ht="30.75" customHeight="1" x14ac:dyDescent="0.3">
      <c r="A120" s="264" t="s">
        <v>484</v>
      </c>
      <c r="B120" s="2" t="s">
        <v>485</v>
      </c>
      <c r="C120" s="2" t="s">
        <v>237</v>
      </c>
      <c r="D120" s="2" t="s">
        <v>486</v>
      </c>
      <c r="E120" s="2" t="s">
        <v>487</v>
      </c>
      <c r="F120" s="24"/>
      <c r="G120" s="23"/>
      <c r="H120" s="23"/>
      <c r="I120" s="23"/>
    </row>
    <row r="121" spans="1:18" customFormat="1" ht="15.6" x14ac:dyDescent="0.3">
      <c r="A121" s="9"/>
      <c r="B121" s="6"/>
      <c r="C121" s="265" t="s">
        <v>385</v>
      </c>
      <c r="D121" s="265" t="s">
        <v>488</v>
      </c>
      <c r="E121" s="265" t="s">
        <v>443</v>
      </c>
      <c r="H121" s="23"/>
      <c r="I121" s="23"/>
      <c r="J121" s="23"/>
      <c r="K121" s="23"/>
      <c r="L121" s="23"/>
      <c r="M121" s="10"/>
      <c r="N121" s="10"/>
      <c r="O121" s="10"/>
      <c r="P121" s="10"/>
      <c r="Q121" s="10"/>
      <c r="R121" s="10"/>
    </row>
    <row r="122" spans="1:18" customFormat="1" ht="15.6" x14ac:dyDescent="0.3">
      <c r="A122" s="177"/>
      <c r="B122" s="177"/>
      <c r="C122" s="178"/>
      <c r="D122" s="179"/>
      <c r="E122" s="170">
        <f t="shared" ref="E122:E133" si="5">ROUND(C122*D122,2)</f>
        <v>0</v>
      </c>
      <c r="H122" s="23"/>
      <c r="I122" s="23"/>
      <c r="J122" s="23"/>
      <c r="K122" s="23"/>
      <c r="L122" s="23"/>
      <c r="M122" s="10"/>
      <c r="N122" s="10"/>
      <c r="O122" s="10"/>
      <c r="P122" s="10"/>
      <c r="Q122" s="10"/>
      <c r="R122" s="10"/>
    </row>
    <row r="123" spans="1:18" customFormat="1" ht="15.6" x14ac:dyDescent="0.3">
      <c r="A123" s="633" t="s">
        <v>444</v>
      </c>
      <c r="B123" s="633"/>
      <c r="C123" s="170">
        <f>IF(B9&lt;50,IF(J33&gt;C33,C33,J33),0)</f>
        <v>3262.3</v>
      </c>
      <c r="D123" s="171">
        <f>'TABLE DES TAUX 2025 '!E26</f>
        <v>1E-3</v>
      </c>
      <c r="E123" s="170">
        <f t="shared" si="5"/>
        <v>3.26</v>
      </c>
      <c r="G123" s="266"/>
      <c r="H123" s="23"/>
      <c r="I123" s="23"/>
      <c r="J123" s="23"/>
      <c r="K123" s="23"/>
      <c r="L123" s="23"/>
      <c r="M123" s="10"/>
      <c r="N123" s="10"/>
      <c r="O123" s="10"/>
      <c r="P123" s="10"/>
      <c r="Q123" s="10"/>
      <c r="R123" s="10"/>
    </row>
    <row r="124" spans="1:18" customFormat="1" ht="15.6" x14ac:dyDescent="0.3">
      <c r="A124" s="633" t="s">
        <v>445</v>
      </c>
      <c r="B124" s="633"/>
      <c r="C124" s="170">
        <f>IF(B9&gt;=50,J33,0)</f>
        <v>0</v>
      </c>
      <c r="D124" s="171">
        <f>'TABLE DES TAUX 2025 '!E27</f>
        <v>5.0000000000000001E-3</v>
      </c>
      <c r="E124" s="170">
        <f t="shared" si="5"/>
        <v>0</v>
      </c>
      <c r="G124" s="267"/>
      <c r="H124" s="23"/>
      <c r="I124" s="23"/>
      <c r="J124" s="23"/>
      <c r="K124" s="23"/>
      <c r="L124" s="23"/>
      <c r="M124" s="10"/>
      <c r="N124" s="10"/>
      <c r="O124" s="10"/>
      <c r="P124" s="10"/>
      <c r="Q124" s="10"/>
      <c r="R124" s="10"/>
    </row>
    <row r="125" spans="1:18" customFormat="1" ht="15.6" x14ac:dyDescent="0.3">
      <c r="A125" s="633" t="s">
        <v>446</v>
      </c>
      <c r="B125" s="633"/>
      <c r="C125" s="170">
        <f>IF(B9&gt;=11,J33,0)</f>
        <v>3262.3</v>
      </c>
      <c r="D125" s="171">
        <f>'Masque de Saisie'!H24</f>
        <v>6.0000000000000001E-3</v>
      </c>
      <c r="E125" s="170">
        <f t="shared" si="5"/>
        <v>19.57</v>
      </c>
      <c r="G125" s="266"/>
      <c r="H125" s="23"/>
      <c r="I125" s="23"/>
      <c r="J125" s="23"/>
      <c r="K125" s="23"/>
      <c r="L125" s="23"/>
      <c r="M125" s="10"/>
      <c r="N125" s="10"/>
      <c r="O125" s="10"/>
      <c r="P125" s="10"/>
      <c r="Q125" s="10"/>
      <c r="R125" s="10"/>
    </row>
    <row r="126" spans="1:18" customFormat="1" ht="15.6" x14ac:dyDescent="0.3">
      <c r="A126" s="627" t="s">
        <v>447</v>
      </c>
      <c r="B126" s="627"/>
      <c r="C126" s="170">
        <f>J33</f>
        <v>3262.3</v>
      </c>
      <c r="D126" s="171">
        <f>'TABLE DES TAUX 2025 '!E29</f>
        <v>3.0000000000000001E-3</v>
      </c>
      <c r="E126" s="170">
        <f t="shared" si="5"/>
        <v>9.7899999999999991</v>
      </c>
      <c r="H126" s="23"/>
      <c r="I126" s="23"/>
      <c r="J126" s="23"/>
      <c r="K126" s="23"/>
      <c r="L126" s="23"/>
      <c r="M126" s="10"/>
      <c r="N126" s="10"/>
      <c r="O126" s="10"/>
      <c r="P126" s="10"/>
      <c r="Q126" s="10"/>
      <c r="R126" s="10"/>
    </row>
    <row r="127" spans="1:18" customFormat="1" ht="15.6" x14ac:dyDescent="0.3">
      <c r="A127" s="633" t="s">
        <v>448</v>
      </c>
      <c r="B127" s="633"/>
      <c r="C127" s="170">
        <f>IF(B9&gt;=11, IF(I9=2,G43+G44+G76,G40+G75),0)</f>
        <v>130.5</v>
      </c>
      <c r="D127" s="171">
        <f>'TABLE DES TAUX 2025 '!E30</f>
        <v>0.08</v>
      </c>
      <c r="E127" s="170">
        <f t="shared" si="5"/>
        <v>10.44</v>
      </c>
      <c r="H127" s="10"/>
      <c r="I127" s="10"/>
      <c r="J127" s="23"/>
      <c r="K127" s="23"/>
      <c r="L127" s="23"/>
      <c r="M127" s="10"/>
      <c r="N127" s="10"/>
      <c r="O127" s="10"/>
      <c r="P127" s="10"/>
      <c r="Q127" s="10"/>
      <c r="R127" s="10"/>
    </row>
    <row r="128" spans="1:18" customFormat="1" ht="17.25" customHeight="1" x14ac:dyDescent="0.3">
      <c r="A128" s="634" t="s">
        <v>449</v>
      </c>
      <c r="B128" s="634"/>
      <c r="C128" s="170">
        <f>G78</f>
        <v>0</v>
      </c>
      <c r="D128" s="171">
        <f>'TABLE DES TAUX 2025 '!E31</f>
        <v>0.2</v>
      </c>
      <c r="E128" s="170">
        <f t="shared" si="5"/>
        <v>0</v>
      </c>
      <c r="H128" s="10"/>
      <c r="I128" s="10"/>
      <c r="J128" s="10"/>
      <c r="K128" s="10"/>
      <c r="L128" s="10"/>
      <c r="M128" s="10"/>
      <c r="N128" s="10"/>
      <c r="O128" s="10"/>
      <c r="P128" s="10"/>
      <c r="Q128" s="10"/>
      <c r="R128" s="10"/>
    </row>
    <row r="129" spans="1:18" customFormat="1" ht="18" customHeight="1" x14ac:dyDescent="0.3">
      <c r="A129" s="627" t="s">
        <v>450</v>
      </c>
      <c r="B129" s="627"/>
      <c r="C129" s="170">
        <f>+J33</f>
        <v>3262.3</v>
      </c>
      <c r="D129" s="171">
        <f>'TABLE DES TAUX 2025 '!E32</f>
        <v>1.6000000000000001E-4</v>
      </c>
      <c r="E129" s="170">
        <f t="shared" si="5"/>
        <v>0.52</v>
      </c>
      <c r="H129" s="10"/>
      <c r="I129" s="10"/>
      <c r="J129" s="10"/>
      <c r="K129" s="10"/>
      <c r="L129" s="10"/>
      <c r="M129" s="10"/>
      <c r="N129" s="10"/>
      <c r="O129" s="10"/>
      <c r="P129" s="10"/>
      <c r="Q129" s="10"/>
      <c r="R129" s="10"/>
    </row>
    <row r="130" spans="1:18" customFormat="1" ht="16.5" customHeight="1" x14ac:dyDescent="0.3">
      <c r="A130" s="627" t="s">
        <v>451</v>
      </c>
      <c r="B130" s="627"/>
      <c r="C130" s="170">
        <f>C129</f>
        <v>3262.3</v>
      </c>
      <c r="D130" s="171">
        <f>'TABLE DES TAUX 2025 '!E33</f>
        <v>6.7999999999999996E-3</v>
      </c>
      <c r="E130" s="170">
        <f t="shared" si="5"/>
        <v>22.18</v>
      </c>
      <c r="H130" s="10"/>
      <c r="I130" s="10"/>
      <c r="J130" s="10"/>
      <c r="K130" s="10"/>
      <c r="L130" s="10"/>
      <c r="M130" s="10"/>
      <c r="N130" s="10"/>
      <c r="O130" s="10"/>
      <c r="P130" s="10"/>
      <c r="Q130" s="10"/>
      <c r="R130" s="10"/>
    </row>
    <row r="131" spans="1:18" customFormat="1" ht="15.6" x14ac:dyDescent="0.3">
      <c r="A131" s="627" t="s">
        <v>452</v>
      </c>
      <c r="B131" s="627"/>
      <c r="C131" s="170">
        <f>IF(B9&lt;11,0,J33)</f>
        <v>3262.3</v>
      </c>
      <c r="D131" s="171">
        <f>'TABLE DES TAUX 2025 '!E34</f>
        <v>0.01</v>
      </c>
      <c r="E131" s="170">
        <f t="shared" si="5"/>
        <v>32.619999999999997</v>
      </c>
      <c r="H131" s="10"/>
      <c r="I131" s="10"/>
      <c r="J131" s="10"/>
      <c r="K131" s="10"/>
      <c r="L131" s="10"/>
      <c r="M131" s="10"/>
      <c r="N131" s="10"/>
      <c r="O131" s="10"/>
      <c r="P131" s="10"/>
      <c r="Q131" s="10"/>
      <c r="R131" s="10"/>
    </row>
    <row r="132" spans="1:18" customFormat="1" ht="15.6" x14ac:dyDescent="0.3">
      <c r="A132" s="627" t="s">
        <v>452</v>
      </c>
      <c r="B132" s="627"/>
      <c r="C132" s="170">
        <f>IF(B9&gt;=11,0,J33)</f>
        <v>0</v>
      </c>
      <c r="D132" s="171">
        <f>'TABLE DES TAUX 2025 '!E35</f>
        <v>5.4999999999999997E-3</v>
      </c>
      <c r="E132" s="170">
        <f t="shared" si="5"/>
        <v>0</v>
      </c>
      <c r="H132" s="10"/>
      <c r="I132" s="10"/>
      <c r="J132" s="10"/>
      <c r="K132" s="10"/>
      <c r="L132" s="10"/>
      <c r="M132" s="10"/>
      <c r="N132" s="10"/>
      <c r="O132" s="10"/>
      <c r="P132" s="10"/>
      <c r="Q132" s="10"/>
      <c r="R132" s="10"/>
    </row>
    <row r="133" spans="1:18" customFormat="1" ht="15.6" x14ac:dyDescent="0.3">
      <c r="A133" s="627" t="s">
        <v>453</v>
      </c>
      <c r="B133" s="627"/>
      <c r="C133" s="170">
        <f>IF(B9&lt;50,0,J33)</f>
        <v>0</v>
      </c>
      <c r="D133" s="171">
        <f>'TABLE DES TAUX 2025 '!E36</f>
        <v>4.4999999999999997E-3</v>
      </c>
      <c r="E133" s="170">
        <f t="shared" si="5"/>
        <v>0</v>
      </c>
      <c r="H133" s="10"/>
      <c r="I133" s="10"/>
      <c r="J133" s="10"/>
      <c r="K133" s="10"/>
      <c r="L133" s="10"/>
      <c r="M133" s="10"/>
      <c r="N133" s="10"/>
      <c r="O133" s="10"/>
      <c r="P133" s="10"/>
      <c r="Q133" s="10"/>
      <c r="R133" s="10"/>
    </row>
    <row r="134" spans="1:18" customFormat="1" ht="15.6" x14ac:dyDescent="0.3">
      <c r="A134" s="10"/>
      <c r="B134" s="10"/>
      <c r="D134" s="10"/>
      <c r="E134" s="170">
        <f>SUM(E123:E133)</f>
        <v>98.38</v>
      </c>
      <c r="G134" s="10"/>
      <c r="H134" s="10"/>
      <c r="I134" s="10"/>
      <c r="J134" s="10"/>
      <c r="K134" s="10"/>
      <c r="L134" s="10"/>
      <c r="M134" s="10"/>
      <c r="N134" s="10"/>
      <c r="O134" s="10"/>
      <c r="P134" s="10"/>
      <c r="Q134" s="10"/>
      <c r="R134" s="10"/>
    </row>
    <row r="135" spans="1:18" customFormat="1" ht="15.6" x14ac:dyDescent="0.3">
      <c r="A135" s="177"/>
      <c r="B135" s="177"/>
      <c r="C135" s="178"/>
      <c r="D135" s="179"/>
      <c r="E135" s="179"/>
      <c r="F135" s="178"/>
      <c r="G135" s="178"/>
      <c r="H135" s="80"/>
      <c r="I135" s="80"/>
      <c r="J135" s="10"/>
      <c r="K135" s="10"/>
      <c r="L135" s="10"/>
      <c r="M135" s="10"/>
      <c r="N135" s="10"/>
      <c r="O135" s="10"/>
      <c r="P135" s="10"/>
      <c r="Q135" s="10"/>
      <c r="R135" s="10"/>
    </row>
  </sheetData>
  <mergeCells count="131">
    <mergeCell ref="A1:J1"/>
    <mergeCell ref="A2:D2"/>
    <mergeCell ref="F2:J2"/>
    <mergeCell ref="B3:D3"/>
    <mergeCell ref="G3:J3"/>
    <mergeCell ref="B4:D4"/>
    <mergeCell ref="G4:J4"/>
    <mergeCell ref="B5:D5"/>
    <mergeCell ref="G5:J5"/>
    <mergeCell ref="B6:D6"/>
    <mergeCell ref="G6:J6"/>
    <mergeCell ref="B7:D7"/>
    <mergeCell ref="G7:J7"/>
    <mergeCell ref="B8:D8"/>
    <mergeCell ref="G8:J8"/>
    <mergeCell ref="C9:D9"/>
    <mergeCell ref="F9:G9"/>
    <mergeCell ref="F10:G10"/>
    <mergeCell ref="B11:D11"/>
    <mergeCell ref="A12:J12"/>
    <mergeCell ref="A13:F13"/>
    <mergeCell ref="A14:F14"/>
    <mergeCell ref="A15:F15"/>
    <mergeCell ref="A16:F16"/>
    <mergeCell ref="A17:F17"/>
    <mergeCell ref="A18:F18"/>
    <mergeCell ref="A19:F19"/>
    <mergeCell ref="A20:F20"/>
    <mergeCell ref="A21:F21"/>
    <mergeCell ref="A22:F22"/>
    <mergeCell ref="A23:F23"/>
    <mergeCell ref="A24:F24"/>
    <mergeCell ref="A25:F25"/>
    <mergeCell ref="A26:F26"/>
    <mergeCell ref="A27:F27"/>
    <mergeCell ref="A28:F28"/>
    <mergeCell ref="A29:F29"/>
    <mergeCell ref="A30:F30"/>
    <mergeCell ref="A31:F31"/>
    <mergeCell ref="A32:F32"/>
    <mergeCell ref="A33:B33"/>
    <mergeCell ref="D33:I33"/>
    <mergeCell ref="A34:J34"/>
    <mergeCell ref="A35:B35"/>
    <mergeCell ref="A36:B36"/>
    <mergeCell ref="C36:G36"/>
    <mergeCell ref="A37:B37"/>
    <mergeCell ref="A38:B38"/>
    <mergeCell ref="A39:B39"/>
    <mergeCell ref="A40:B40"/>
    <mergeCell ref="A41:B41"/>
    <mergeCell ref="A42:B42"/>
    <mergeCell ref="A43:B43"/>
    <mergeCell ref="A44:B44"/>
    <mergeCell ref="A45:B45"/>
    <mergeCell ref="A46:B46"/>
    <mergeCell ref="A47:B47"/>
    <mergeCell ref="A49:B49"/>
    <mergeCell ref="L49:L50"/>
    <mergeCell ref="A50:B50"/>
    <mergeCell ref="A51:B51"/>
    <mergeCell ref="A52:B52"/>
    <mergeCell ref="A53:B53"/>
    <mergeCell ref="M53:O53"/>
    <mergeCell ref="A54:B54"/>
    <mergeCell ref="M54:N54"/>
    <mergeCell ref="A55:B55"/>
    <mergeCell ref="A56:B56"/>
    <mergeCell ref="A57:B57"/>
    <mergeCell ref="I57:J57"/>
    <mergeCell ref="M57:N57"/>
    <mergeCell ref="A58:B58"/>
    <mergeCell ref="A59:B59"/>
    <mergeCell ref="A60:B60"/>
    <mergeCell ref="M60:N60"/>
    <mergeCell ref="A61:B61"/>
    <mergeCell ref="A62:B62"/>
    <mergeCell ref="A63:B63"/>
    <mergeCell ref="A64:B64"/>
    <mergeCell ref="M64:N64"/>
    <mergeCell ref="A65:B65"/>
    <mergeCell ref="A66:B66"/>
    <mergeCell ref="A67:B67"/>
    <mergeCell ref="A68:B68"/>
    <mergeCell ref="A69:B69"/>
    <mergeCell ref="A70:B70"/>
    <mergeCell ref="A71:B71"/>
    <mergeCell ref="A72:B72"/>
    <mergeCell ref="A73:B73"/>
    <mergeCell ref="A74:B74"/>
    <mergeCell ref="A75:B75"/>
    <mergeCell ref="A76:B76"/>
    <mergeCell ref="A78:B78"/>
    <mergeCell ref="A79:B79"/>
    <mergeCell ref="A80:B80"/>
    <mergeCell ref="A81:B81"/>
    <mergeCell ref="A82:B82"/>
    <mergeCell ref="A83:B83"/>
    <mergeCell ref="A84:I84"/>
    <mergeCell ref="J84:L84"/>
    <mergeCell ref="A85:I85"/>
    <mergeCell ref="J85:L85"/>
    <mergeCell ref="A86:I86"/>
    <mergeCell ref="J86:K86"/>
    <mergeCell ref="A87:I87"/>
    <mergeCell ref="A88:C89"/>
    <mergeCell ref="D88:E88"/>
    <mergeCell ref="F88:G88"/>
    <mergeCell ref="J88:K88"/>
    <mergeCell ref="D89:E89"/>
    <mergeCell ref="F89:G89"/>
    <mergeCell ref="A90:I90"/>
    <mergeCell ref="J90:L90"/>
    <mergeCell ref="A91:I91"/>
    <mergeCell ref="J91:L91"/>
    <mergeCell ref="A92:I92"/>
    <mergeCell ref="J92:L92"/>
    <mergeCell ref="D93:E93"/>
    <mergeCell ref="F93:G93"/>
    <mergeCell ref="A98:E98"/>
    <mergeCell ref="A132:B132"/>
    <mergeCell ref="A133:B133"/>
    <mergeCell ref="A123:B123"/>
    <mergeCell ref="A124:B124"/>
    <mergeCell ref="A125:B125"/>
    <mergeCell ref="A126:B126"/>
    <mergeCell ref="A127:B127"/>
    <mergeCell ref="A128:B128"/>
    <mergeCell ref="A129:B129"/>
    <mergeCell ref="A130:B130"/>
    <mergeCell ref="A131:B131"/>
  </mergeCells>
  <dataValidations count="2">
    <dataValidation operator="equal" allowBlank="1" showErrorMessage="1" errorTitle="Smic minimum" error="attention tatal brut au minimum égal au smic pour 151,67 h" sqref="J33" xr:uid="{00000000-0002-0000-0500-00000000000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G7" xr:uid="{00000000-0002-0000-0500-000001000000}">
      <formula1>$M$3:$M$5</formula1>
      <formula2>0</formula2>
    </dataValidation>
  </dataValidations>
  <printOptions horizontalCentered="1" verticalCentered="1"/>
  <pageMargins left="0.118055555555556" right="0.118055555555556" top="0.35416666666666702" bottom="0.35416666666666702" header="0.511811023622047" footer="0.511811023622047"/>
  <pageSetup paperSize="9" scale="70" orientation="portrait" horizontalDpi="300" verticalDpi="30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84" zoomScale="125" zoomScaleNormal="125" workbookViewId="0">
      <selection activeCell="A146" sqref="A146"/>
    </sheetView>
  </sheetViews>
  <sheetFormatPr baseColWidth="10" defaultColWidth="10.5546875" defaultRowHeight="14.25" customHeight="1" x14ac:dyDescent="0.3"/>
  <cols>
    <col min="1" max="1" width="14.88671875" customWidth="1"/>
    <col min="2" max="2" width="13.33203125" customWidth="1"/>
    <col min="3" max="3" width="12.5546875" customWidth="1"/>
    <col min="4" max="4" width="16.109375" style="5"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11.5546875" hidden="1" customWidth="1"/>
    <col min="32" max="32" width="11.44140625" hidden="1" customWidth="1"/>
    <col min="33" max="33" width="11.5546875" hidden="1" customWidth="1"/>
  </cols>
  <sheetData>
    <row r="1" spans="1:16" ht="20.25" hidden="1" customHeight="1" x14ac:dyDescent="0.3">
      <c r="A1" t="s">
        <v>489</v>
      </c>
    </row>
    <row r="2" spans="1:16" s="231" customFormat="1" ht="26.25" hidden="1" customHeight="1" x14ac:dyDescent="0.2">
      <c r="A2" s="233" t="s">
        <v>240</v>
      </c>
      <c r="B2" s="233" t="s">
        <v>490</v>
      </c>
      <c r="C2" s="233" t="s">
        <v>491</v>
      </c>
      <c r="D2" s="233" t="s">
        <v>492</v>
      </c>
      <c r="E2" s="233" t="s">
        <v>493</v>
      </c>
      <c r="F2" s="233"/>
      <c r="G2" s="233"/>
      <c r="H2" s="233"/>
      <c r="I2" s="233"/>
      <c r="J2" s="233"/>
      <c r="K2" s="233" t="s">
        <v>494</v>
      </c>
      <c r="L2" s="233" t="s">
        <v>495</v>
      </c>
      <c r="M2" s="233" t="s">
        <v>496</v>
      </c>
      <c r="N2" s="233" t="s">
        <v>497</v>
      </c>
      <c r="O2" s="233" t="s">
        <v>498</v>
      </c>
      <c r="P2" s="233" t="s">
        <v>499</v>
      </c>
    </row>
    <row r="3" spans="1:16" s="6" customFormat="1" ht="20.25" hidden="1" customHeight="1" x14ac:dyDescent="0.25">
      <c r="A3" s="162" t="s">
        <v>500</v>
      </c>
      <c r="B3" s="268">
        <f>'[3]SUIVI RETRAITE '!B7</f>
        <v>4910.8</v>
      </c>
      <c r="C3" s="269">
        <f>'[3]SUIVI RETRAITE '!C7</f>
        <v>3428</v>
      </c>
      <c r="D3" s="270">
        <f>C3</f>
        <v>3428</v>
      </c>
      <c r="E3" s="270">
        <f>B3</f>
        <v>4910.8</v>
      </c>
      <c r="F3" s="270"/>
      <c r="G3" s="270"/>
      <c r="H3" s="270"/>
      <c r="I3" s="270"/>
      <c r="J3" s="270"/>
      <c r="K3" s="270">
        <f t="shared" ref="K3:K14" si="0">MIN(D3,E3)</f>
        <v>3428</v>
      </c>
      <c r="L3" s="270">
        <f>K3</f>
        <v>3428</v>
      </c>
      <c r="M3" s="270">
        <f t="shared" ref="M3:M14" si="1">IF(E3&gt;D3,IF((E3-D3)&gt;3*D3,3*D3,E3-D3),0)</f>
        <v>1482.8000000000002</v>
      </c>
      <c r="N3" s="270">
        <f>M3</f>
        <v>1482.8000000000002</v>
      </c>
      <c r="O3" s="270">
        <f t="shared" ref="O3:O14" si="2">IF(E3&gt;8*D3,7*D3,IF(E3&lt;D3,0,E3-D3))</f>
        <v>1482.8000000000002</v>
      </c>
      <c r="P3" s="270">
        <f>O3</f>
        <v>1482.8000000000002</v>
      </c>
    </row>
    <row r="4" spans="1:16" s="6" customFormat="1" ht="20.25" hidden="1" customHeight="1" x14ac:dyDescent="0.25">
      <c r="A4" s="162" t="s">
        <v>501</v>
      </c>
      <c r="B4" s="268">
        <f>'[3]SUIVI RETRAITE '!B8</f>
        <v>0</v>
      </c>
      <c r="C4" s="269">
        <f>'[3]SUIVI RETRAITE '!C8</f>
        <v>0</v>
      </c>
      <c r="D4" s="270">
        <f t="shared" ref="D4:D14" si="3">D3+C4</f>
        <v>3428</v>
      </c>
      <c r="E4" s="270">
        <f t="shared" ref="E4:E14" si="4">E3+B4</f>
        <v>4910.8</v>
      </c>
      <c r="F4" s="270"/>
      <c r="G4" s="270"/>
      <c r="H4" s="270"/>
      <c r="I4" s="270"/>
      <c r="J4" s="270"/>
      <c r="K4" s="270">
        <f t="shared" si="0"/>
        <v>3428</v>
      </c>
      <c r="L4" s="270">
        <f t="shared" ref="L4:L14" si="5">K4-K3</f>
        <v>0</v>
      </c>
      <c r="M4" s="270">
        <f t="shared" si="1"/>
        <v>1482.8000000000002</v>
      </c>
      <c r="N4" s="270">
        <f t="shared" ref="N4:N14" si="6">M4-M3</f>
        <v>0</v>
      </c>
      <c r="O4" s="270">
        <f t="shared" si="2"/>
        <v>1482.8000000000002</v>
      </c>
      <c r="P4" s="270">
        <f t="shared" ref="P4:P14" si="7">O4-O3</f>
        <v>0</v>
      </c>
    </row>
    <row r="5" spans="1:16" s="6" customFormat="1" ht="20.25" hidden="1" customHeight="1" x14ac:dyDescent="0.25">
      <c r="A5" s="162" t="s">
        <v>502</v>
      </c>
      <c r="B5" s="268" t="e">
        <f>'[3]SUIVI RETRAITE '!B9</f>
        <v>#VALUE!</v>
      </c>
      <c r="C5" s="269">
        <f>'[3]SUIVI RETRAITE '!C9</f>
        <v>0</v>
      </c>
      <c r="D5" s="270">
        <f t="shared" si="3"/>
        <v>3428</v>
      </c>
      <c r="E5" s="270" t="e">
        <f t="shared" si="4"/>
        <v>#VALUE!</v>
      </c>
      <c r="F5" s="270"/>
      <c r="G5" s="270"/>
      <c r="H5" s="270"/>
      <c r="I5" s="270"/>
      <c r="J5" s="270"/>
      <c r="K5" s="270" t="e">
        <f t="shared" si="0"/>
        <v>#VALUE!</v>
      </c>
      <c r="L5" s="270" t="e">
        <f t="shared" si="5"/>
        <v>#VALUE!</v>
      </c>
      <c r="M5" s="270" t="e">
        <f t="shared" si="1"/>
        <v>#VALUE!</v>
      </c>
      <c r="N5" s="270" t="e">
        <f t="shared" si="6"/>
        <v>#VALUE!</v>
      </c>
      <c r="O5" s="270" t="e">
        <f t="shared" si="2"/>
        <v>#VALUE!</v>
      </c>
      <c r="P5" s="270" t="e">
        <f t="shared" si="7"/>
        <v>#VALUE!</v>
      </c>
    </row>
    <row r="6" spans="1:16" s="6" customFormat="1" ht="20.25" hidden="1" customHeight="1" x14ac:dyDescent="0.25">
      <c r="A6" s="162" t="s">
        <v>503</v>
      </c>
      <c r="B6" s="268" t="e">
        <f>'[3]SUIVI RETRAITE '!B10</f>
        <v>#VALUE!</v>
      </c>
      <c r="C6" s="269">
        <f>'[3]SUIVI RETRAITE '!C10</f>
        <v>0</v>
      </c>
      <c r="D6" s="270">
        <f t="shared" si="3"/>
        <v>3428</v>
      </c>
      <c r="E6" s="270" t="e">
        <f t="shared" si="4"/>
        <v>#VALUE!</v>
      </c>
      <c r="F6" s="270"/>
      <c r="G6" s="270"/>
      <c r="H6" s="270"/>
      <c r="I6" s="270"/>
      <c r="J6" s="270"/>
      <c r="K6" s="270" t="e">
        <f t="shared" si="0"/>
        <v>#VALUE!</v>
      </c>
      <c r="L6" s="270" t="e">
        <f t="shared" si="5"/>
        <v>#VALUE!</v>
      </c>
      <c r="M6" s="270" t="e">
        <f t="shared" si="1"/>
        <v>#VALUE!</v>
      </c>
      <c r="N6" s="270" t="e">
        <f t="shared" si="6"/>
        <v>#VALUE!</v>
      </c>
      <c r="O6" s="270" t="e">
        <f t="shared" si="2"/>
        <v>#VALUE!</v>
      </c>
      <c r="P6" s="270" t="e">
        <f t="shared" si="7"/>
        <v>#VALUE!</v>
      </c>
    </row>
    <row r="7" spans="1:16" s="6" customFormat="1" ht="20.25" hidden="1" customHeight="1" x14ac:dyDescent="0.25">
      <c r="A7" s="162" t="s">
        <v>504</v>
      </c>
      <c r="B7" s="268" t="e">
        <f>'[3]SUIVI RETRAITE '!B11</f>
        <v>#VALUE!</v>
      </c>
      <c r="C7" s="269">
        <f>'[3]SUIVI RETRAITE '!C11</f>
        <v>0</v>
      </c>
      <c r="D7" s="270">
        <f t="shared" si="3"/>
        <v>3428</v>
      </c>
      <c r="E7" s="270" t="e">
        <f t="shared" si="4"/>
        <v>#VALUE!</v>
      </c>
      <c r="F7" s="270"/>
      <c r="G7" s="270"/>
      <c r="H7" s="270"/>
      <c r="I7" s="270"/>
      <c r="J7" s="270"/>
      <c r="K7" s="270" t="e">
        <f t="shared" si="0"/>
        <v>#VALUE!</v>
      </c>
      <c r="L7" s="270" t="e">
        <f t="shared" si="5"/>
        <v>#VALUE!</v>
      </c>
      <c r="M7" s="270" t="e">
        <f t="shared" si="1"/>
        <v>#VALUE!</v>
      </c>
      <c r="N7" s="270" t="e">
        <f t="shared" si="6"/>
        <v>#VALUE!</v>
      </c>
      <c r="O7" s="270" t="e">
        <f t="shared" si="2"/>
        <v>#VALUE!</v>
      </c>
      <c r="P7" s="270" t="e">
        <f t="shared" si="7"/>
        <v>#VALUE!</v>
      </c>
    </row>
    <row r="8" spans="1:16" s="6" customFormat="1" ht="20.25" hidden="1" customHeight="1" x14ac:dyDescent="0.25">
      <c r="A8" s="162" t="s">
        <v>505</v>
      </c>
      <c r="B8" s="268" t="e">
        <f>'[3]SUIVI RETRAITE '!B12</f>
        <v>#VALUE!</v>
      </c>
      <c r="C8" s="269">
        <f>'[3]SUIVI RETRAITE '!C12</f>
        <v>0</v>
      </c>
      <c r="D8" s="269">
        <f t="shared" si="3"/>
        <v>3428</v>
      </c>
      <c r="E8" s="269" t="e">
        <f t="shared" si="4"/>
        <v>#VALUE!</v>
      </c>
      <c r="F8" s="269"/>
      <c r="G8" s="269"/>
      <c r="H8" s="269"/>
      <c r="I8" s="269"/>
      <c r="J8" s="269"/>
      <c r="K8" s="270" t="e">
        <f t="shared" si="0"/>
        <v>#VALUE!</v>
      </c>
      <c r="L8" s="270" t="e">
        <f t="shared" si="5"/>
        <v>#VALUE!</v>
      </c>
      <c r="M8" s="270" t="e">
        <f t="shared" si="1"/>
        <v>#VALUE!</v>
      </c>
      <c r="N8" s="270" t="e">
        <f t="shared" si="6"/>
        <v>#VALUE!</v>
      </c>
      <c r="O8" s="270" t="e">
        <f t="shared" si="2"/>
        <v>#VALUE!</v>
      </c>
      <c r="P8" s="270" t="e">
        <f t="shared" si="7"/>
        <v>#VALUE!</v>
      </c>
    </row>
    <row r="9" spans="1:16" s="6" customFormat="1" ht="20.25" hidden="1" customHeight="1" x14ac:dyDescent="0.25">
      <c r="A9" s="162" t="s">
        <v>506</v>
      </c>
      <c r="B9" s="268" t="e">
        <f>'[3]SUIVI RETRAITE '!B13</f>
        <v>#VALUE!</v>
      </c>
      <c r="C9" s="269">
        <f>'[3]SUIVI RETRAITE '!C13</f>
        <v>0</v>
      </c>
      <c r="D9" s="269">
        <f t="shared" si="3"/>
        <v>3428</v>
      </c>
      <c r="E9" s="269" t="e">
        <f t="shared" si="4"/>
        <v>#VALUE!</v>
      </c>
      <c r="F9" s="269"/>
      <c r="G9" s="269"/>
      <c r="H9" s="269"/>
      <c r="I9" s="269"/>
      <c r="J9" s="269"/>
      <c r="K9" s="270" t="e">
        <f t="shared" si="0"/>
        <v>#VALUE!</v>
      </c>
      <c r="L9" s="270" t="e">
        <f t="shared" si="5"/>
        <v>#VALUE!</v>
      </c>
      <c r="M9" s="270" t="e">
        <f t="shared" si="1"/>
        <v>#VALUE!</v>
      </c>
      <c r="N9" s="270" t="e">
        <f t="shared" si="6"/>
        <v>#VALUE!</v>
      </c>
      <c r="O9" s="270" t="e">
        <f t="shared" si="2"/>
        <v>#VALUE!</v>
      </c>
      <c r="P9" s="270" t="e">
        <f t="shared" si="7"/>
        <v>#VALUE!</v>
      </c>
    </row>
    <row r="10" spans="1:16" s="6" customFormat="1" ht="20.25" hidden="1" customHeight="1" x14ac:dyDescent="0.25">
      <c r="A10" s="162" t="s">
        <v>507</v>
      </c>
      <c r="B10" s="268" t="e">
        <f>'[3]SUIVI RETRAITE '!B14</f>
        <v>#VALUE!</v>
      </c>
      <c r="C10" s="269">
        <f>'[3]SUIVI RETRAITE '!C14</f>
        <v>0</v>
      </c>
      <c r="D10" s="269">
        <f t="shared" si="3"/>
        <v>3428</v>
      </c>
      <c r="E10" s="269" t="e">
        <f t="shared" si="4"/>
        <v>#VALUE!</v>
      </c>
      <c r="F10" s="269"/>
      <c r="G10" s="269"/>
      <c r="H10" s="269"/>
      <c r="I10" s="269"/>
      <c r="J10" s="269"/>
      <c r="K10" s="270" t="e">
        <f t="shared" si="0"/>
        <v>#VALUE!</v>
      </c>
      <c r="L10" s="270" t="e">
        <f t="shared" si="5"/>
        <v>#VALUE!</v>
      </c>
      <c r="M10" s="270" t="e">
        <f t="shared" si="1"/>
        <v>#VALUE!</v>
      </c>
      <c r="N10" s="270" t="e">
        <f t="shared" si="6"/>
        <v>#VALUE!</v>
      </c>
      <c r="O10" s="270" t="e">
        <f t="shared" si="2"/>
        <v>#VALUE!</v>
      </c>
      <c r="P10" s="270" t="e">
        <f t="shared" si="7"/>
        <v>#VALUE!</v>
      </c>
    </row>
    <row r="11" spans="1:16" s="6" customFormat="1" ht="20.25" hidden="1" customHeight="1" x14ac:dyDescent="0.25">
      <c r="A11" s="162" t="s">
        <v>508</v>
      </c>
      <c r="B11" s="268" t="e">
        <f>'[3]SUIVI RETRAITE '!B15</f>
        <v>#VALUE!</v>
      </c>
      <c r="C11" s="269">
        <f>'[3]SUIVI RETRAITE '!C15</f>
        <v>0</v>
      </c>
      <c r="D11" s="269">
        <f t="shared" si="3"/>
        <v>3428</v>
      </c>
      <c r="E11" s="269" t="e">
        <f t="shared" si="4"/>
        <v>#VALUE!</v>
      </c>
      <c r="F11" s="269"/>
      <c r="G11" s="269"/>
      <c r="H11" s="269"/>
      <c r="I11" s="269"/>
      <c r="J11" s="269"/>
      <c r="K11" s="270" t="e">
        <f t="shared" si="0"/>
        <v>#VALUE!</v>
      </c>
      <c r="L11" s="270" t="e">
        <f t="shared" si="5"/>
        <v>#VALUE!</v>
      </c>
      <c r="M11" s="270" t="e">
        <f t="shared" si="1"/>
        <v>#VALUE!</v>
      </c>
      <c r="N11" s="270" t="e">
        <f t="shared" si="6"/>
        <v>#VALUE!</v>
      </c>
      <c r="O11" s="270" t="e">
        <f t="shared" si="2"/>
        <v>#VALUE!</v>
      </c>
      <c r="P11" s="270" t="e">
        <f t="shared" si="7"/>
        <v>#VALUE!</v>
      </c>
    </row>
    <row r="12" spans="1:16" s="6" customFormat="1" ht="20.25" hidden="1" customHeight="1" x14ac:dyDescent="0.25">
      <c r="A12" s="162" t="s">
        <v>509</v>
      </c>
      <c r="B12" s="268" t="e">
        <f>'[3]SUIVI RETRAITE '!B16</f>
        <v>#VALUE!</v>
      </c>
      <c r="C12" s="269">
        <f>'[3]SUIVI RETRAITE '!C16</f>
        <v>0</v>
      </c>
      <c r="D12" s="269">
        <f t="shared" si="3"/>
        <v>3428</v>
      </c>
      <c r="E12" s="269" t="e">
        <f t="shared" si="4"/>
        <v>#VALUE!</v>
      </c>
      <c r="F12" s="269"/>
      <c r="G12" s="269"/>
      <c r="H12" s="269"/>
      <c r="I12" s="269"/>
      <c r="J12" s="269"/>
      <c r="K12" s="270" t="e">
        <f t="shared" si="0"/>
        <v>#VALUE!</v>
      </c>
      <c r="L12" s="270" t="e">
        <f t="shared" si="5"/>
        <v>#VALUE!</v>
      </c>
      <c r="M12" s="270" t="e">
        <f t="shared" si="1"/>
        <v>#VALUE!</v>
      </c>
      <c r="N12" s="270" t="e">
        <f t="shared" si="6"/>
        <v>#VALUE!</v>
      </c>
      <c r="O12" s="270" t="e">
        <f t="shared" si="2"/>
        <v>#VALUE!</v>
      </c>
      <c r="P12" s="270" t="e">
        <f t="shared" si="7"/>
        <v>#VALUE!</v>
      </c>
    </row>
    <row r="13" spans="1:16" s="6" customFormat="1" ht="20.25" hidden="1" customHeight="1" x14ac:dyDescent="0.25">
      <c r="A13" s="162" t="s">
        <v>510</v>
      </c>
      <c r="B13" s="268" t="e">
        <f>'[3]SUIVI RETRAITE '!B17</f>
        <v>#VALUE!</v>
      </c>
      <c r="C13" s="269">
        <f>'[3]SUIVI RETRAITE '!C17</f>
        <v>0</v>
      </c>
      <c r="D13" s="269">
        <f t="shared" si="3"/>
        <v>3428</v>
      </c>
      <c r="E13" s="269" t="e">
        <f t="shared" si="4"/>
        <v>#VALUE!</v>
      </c>
      <c r="F13" s="269"/>
      <c r="G13" s="269"/>
      <c r="H13" s="269"/>
      <c r="I13" s="269"/>
      <c r="J13" s="269"/>
      <c r="K13" s="270" t="e">
        <f t="shared" si="0"/>
        <v>#VALUE!</v>
      </c>
      <c r="L13" s="270" t="e">
        <f t="shared" si="5"/>
        <v>#VALUE!</v>
      </c>
      <c r="M13" s="270" t="e">
        <f t="shared" si="1"/>
        <v>#VALUE!</v>
      </c>
      <c r="N13" s="270" t="e">
        <f t="shared" si="6"/>
        <v>#VALUE!</v>
      </c>
      <c r="O13" s="270" t="e">
        <f t="shared" si="2"/>
        <v>#VALUE!</v>
      </c>
      <c r="P13" s="270" t="e">
        <f t="shared" si="7"/>
        <v>#VALUE!</v>
      </c>
    </row>
    <row r="14" spans="1:16" s="6" customFormat="1" ht="20.25" hidden="1" customHeight="1" x14ac:dyDescent="0.25">
      <c r="A14" s="162" t="s">
        <v>511</v>
      </c>
      <c r="B14" s="268" t="e">
        <f>'[3]SUIVI RETRAITE '!B18</f>
        <v>#VALUE!</v>
      </c>
      <c r="C14" s="269">
        <f>'[3]SUIVI RETRAITE '!C18</f>
        <v>0</v>
      </c>
      <c r="D14" s="269">
        <f t="shared" si="3"/>
        <v>3428</v>
      </c>
      <c r="E14" s="269" t="e">
        <f t="shared" si="4"/>
        <v>#VALUE!</v>
      </c>
      <c r="F14" s="269"/>
      <c r="G14" s="269"/>
      <c r="H14" s="269"/>
      <c r="I14" s="269"/>
      <c r="J14" s="269"/>
      <c r="K14" s="270" t="e">
        <f t="shared" si="0"/>
        <v>#VALUE!</v>
      </c>
      <c r="L14" s="270" t="e">
        <f t="shared" si="5"/>
        <v>#VALUE!</v>
      </c>
      <c r="M14" s="270" t="e">
        <f t="shared" si="1"/>
        <v>#VALUE!</v>
      </c>
      <c r="N14" s="270" t="e">
        <f t="shared" si="6"/>
        <v>#VALUE!</v>
      </c>
      <c r="O14" s="270" t="e">
        <f t="shared" si="2"/>
        <v>#VALUE!</v>
      </c>
      <c r="P14" s="270" t="e">
        <f t="shared" si="7"/>
        <v>#VALUE!</v>
      </c>
    </row>
    <row r="15" spans="1:16" s="6" customFormat="1" ht="20.25" hidden="1" customHeight="1" x14ac:dyDescent="0.25">
      <c r="B15" s="271" t="e">
        <f>'[3]SUIVI RETRAITE '!B19</f>
        <v>#VALUE!</v>
      </c>
      <c r="C15" s="272">
        <f>'[3]SUIVI RETRAITE '!C19</f>
        <v>0</v>
      </c>
      <c r="D15" s="232"/>
    </row>
    <row r="16" spans="1:16" ht="20.25" hidden="1" customHeight="1" x14ac:dyDescent="0.3"/>
    <row r="17" spans="1:18" ht="20.25" hidden="1" customHeight="1" x14ac:dyDescent="0.3"/>
    <row r="18" spans="1:18" ht="20.25" hidden="1" customHeight="1" x14ac:dyDescent="0.3">
      <c r="A18" t="s">
        <v>512</v>
      </c>
    </row>
    <row r="19" spans="1:18" s="6" customFormat="1" ht="20.25" hidden="1" customHeight="1" x14ac:dyDescent="0.25">
      <c r="A19" s="718" t="s">
        <v>513</v>
      </c>
      <c r="B19" s="718"/>
      <c r="C19" s="718"/>
      <c r="D19" s="718"/>
      <c r="E19" s="718"/>
      <c r="F19" s="718"/>
      <c r="G19" s="718"/>
      <c r="H19" s="718"/>
      <c r="I19" s="718"/>
      <c r="J19" s="718"/>
      <c r="K19" s="718"/>
      <c r="L19" s="718"/>
      <c r="M19" s="718"/>
      <c r="N19" s="723"/>
      <c r="O19" s="723"/>
      <c r="P19" s="723"/>
      <c r="Q19" s="723"/>
    </row>
    <row r="20" spans="1:18" s="6" customFormat="1" ht="12.75" customHeight="1" x14ac:dyDescent="0.25">
      <c r="A20" s="156"/>
      <c r="B20" s="274"/>
      <c r="C20" s="274"/>
      <c r="D20" s="274"/>
      <c r="E20" s="274"/>
      <c r="F20" s="274"/>
      <c r="G20" s="274"/>
      <c r="H20" s="274"/>
      <c r="I20" s="274"/>
      <c r="J20" s="156"/>
      <c r="K20" s="156"/>
      <c r="L20" s="156"/>
      <c r="M20" s="156"/>
      <c r="N20" s="273"/>
      <c r="O20" s="273"/>
      <c r="P20" s="273"/>
      <c r="Q20" s="273"/>
    </row>
    <row r="21" spans="1:18" s="6" customFormat="1" ht="25.5" customHeight="1" x14ac:dyDescent="0.25">
      <c r="B21" s="724" t="s">
        <v>514</v>
      </c>
      <c r="C21" s="724"/>
      <c r="D21" s="724"/>
      <c r="E21" s="724"/>
      <c r="F21" s="724"/>
      <c r="G21" s="724"/>
      <c r="H21" s="724"/>
      <c r="I21" s="724"/>
      <c r="J21" s="275"/>
      <c r="N21" s="725"/>
      <c r="O21" s="725"/>
      <c r="P21" s="725"/>
      <c r="Q21" s="725"/>
    </row>
    <row r="22" spans="1:18" s="6" customFormat="1" ht="20.25" hidden="1" customHeight="1" x14ac:dyDescent="0.25">
      <c r="A22" s="277" t="s">
        <v>515</v>
      </c>
      <c r="B22" s="277" t="s">
        <v>516</v>
      </c>
      <c r="C22" s="277" t="s">
        <v>517</v>
      </c>
      <c r="D22" s="277" t="s">
        <v>518</v>
      </c>
      <c r="E22" s="277" t="s">
        <v>519</v>
      </c>
      <c r="F22" s="277"/>
      <c r="G22" s="277"/>
      <c r="H22" s="277"/>
      <c r="I22" s="277"/>
      <c r="J22" s="277"/>
      <c r="K22" s="277" t="s">
        <v>520</v>
      </c>
      <c r="L22" s="277" t="s">
        <v>521</v>
      </c>
      <c r="M22" s="277" t="s">
        <v>522</v>
      </c>
      <c r="N22" s="277" t="s">
        <v>523</v>
      </c>
    </row>
    <row r="23" spans="1:18" s="279" customFormat="1" ht="20.25" hidden="1" customHeight="1" x14ac:dyDescent="0.2">
      <c r="A23" s="278" t="s">
        <v>240</v>
      </c>
      <c r="B23" s="278" t="s">
        <v>490</v>
      </c>
      <c r="C23" s="278" t="s">
        <v>491</v>
      </c>
      <c r="D23" s="278" t="s">
        <v>492</v>
      </c>
      <c r="E23" s="278" t="s">
        <v>493</v>
      </c>
      <c r="F23" s="278"/>
      <c r="G23" s="278"/>
      <c r="H23" s="278"/>
      <c r="I23" s="278"/>
      <c r="J23" s="278"/>
      <c r="K23" s="278" t="s">
        <v>524</v>
      </c>
      <c r="L23" s="278" t="s">
        <v>525</v>
      </c>
      <c r="M23" s="278" t="s">
        <v>498</v>
      </c>
      <c r="N23" s="278" t="s">
        <v>499</v>
      </c>
      <c r="R23" s="280"/>
    </row>
    <row r="24" spans="1:18" s="6" customFormat="1" ht="20.25" hidden="1" customHeight="1" x14ac:dyDescent="0.25">
      <c r="A24" s="281" t="s">
        <v>500</v>
      </c>
      <c r="B24" s="282">
        <f>'[3]SUIVI RETRAITE '!B7</f>
        <v>4910.8</v>
      </c>
      <c r="C24" s="283">
        <f>'[3]SUIVI RETRAITE '!C7</f>
        <v>3428</v>
      </c>
      <c r="D24" s="283">
        <f>C24</f>
        <v>3428</v>
      </c>
      <c r="E24" s="283">
        <f>B24</f>
        <v>4910.8</v>
      </c>
      <c r="F24" s="283"/>
      <c r="G24" s="283"/>
      <c r="H24" s="283"/>
      <c r="I24" s="283"/>
      <c r="J24" s="283"/>
      <c r="K24" s="283">
        <f t="shared" ref="K24:K35" si="8">IF(E24&lt;D24,0,MIN(E24,D24))</f>
        <v>3428</v>
      </c>
      <c r="L24" s="283">
        <f>K24</f>
        <v>3428</v>
      </c>
      <c r="M24" s="283">
        <f t="shared" ref="M24:M35" si="9">IF(E24&gt;8*D24,7*D24,IF(E24&lt;D24,0,E24-D24))</f>
        <v>1482.8000000000002</v>
      </c>
      <c r="N24" s="283">
        <f>M24</f>
        <v>1482.8000000000002</v>
      </c>
      <c r="R24" s="284"/>
    </row>
    <row r="25" spans="1:18" s="6" customFormat="1" ht="20.25" hidden="1" customHeight="1" x14ac:dyDescent="0.25">
      <c r="A25" s="281" t="s">
        <v>501</v>
      </c>
      <c r="B25" s="282">
        <f>'[3]SUIVI RETRAITE '!B8</f>
        <v>0</v>
      </c>
      <c r="C25" s="283">
        <f>'[3]SUIVI RETRAITE '!C8</f>
        <v>0</v>
      </c>
      <c r="D25" s="283">
        <f t="shared" ref="D25:D35" si="10">D24+C25</f>
        <v>3428</v>
      </c>
      <c r="E25" s="283">
        <f t="shared" ref="E25:E35" si="11">E24+B25</f>
        <v>4910.8</v>
      </c>
      <c r="F25" s="283"/>
      <c r="G25" s="283"/>
      <c r="H25" s="283"/>
      <c r="I25" s="283"/>
      <c r="J25" s="283"/>
      <c r="K25" s="283">
        <f t="shared" si="8"/>
        <v>3428</v>
      </c>
      <c r="L25" s="283">
        <f t="shared" ref="L25:L35" si="12">K25-K24</f>
        <v>0</v>
      </c>
      <c r="M25" s="283">
        <f t="shared" si="9"/>
        <v>1482.8000000000002</v>
      </c>
      <c r="N25" s="283">
        <f t="shared" ref="N25:N35" si="13">M25-M24</f>
        <v>0</v>
      </c>
      <c r="R25" s="284"/>
    </row>
    <row r="26" spans="1:18" s="6" customFormat="1" ht="20.25" hidden="1" customHeight="1" x14ac:dyDescent="0.25">
      <c r="A26" s="281" t="s">
        <v>502</v>
      </c>
      <c r="B26" s="282" t="e">
        <f>'[3]SUIVI RETRAITE '!B9</f>
        <v>#VALUE!</v>
      </c>
      <c r="C26" s="283">
        <f>'[3]SUIVI RETRAITE '!C9</f>
        <v>0</v>
      </c>
      <c r="D26" s="283">
        <f t="shared" si="10"/>
        <v>3428</v>
      </c>
      <c r="E26" s="283" t="e">
        <f t="shared" si="11"/>
        <v>#VALUE!</v>
      </c>
      <c r="F26" s="283"/>
      <c r="G26" s="283"/>
      <c r="H26" s="283"/>
      <c r="I26" s="283"/>
      <c r="J26" s="283"/>
      <c r="K26" s="283" t="e">
        <f t="shared" si="8"/>
        <v>#VALUE!</v>
      </c>
      <c r="L26" s="283" t="e">
        <f t="shared" si="12"/>
        <v>#VALUE!</v>
      </c>
      <c r="M26" s="283" t="e">
        <f t="shared" si="9"/>
        <v>#VALUE!</v>
      </c>
      <c r="N26" s="283" t="e">
        <f t="shared" si="13"/>
        <v>#VALUE!</v>
      </c>
      <c r="R26" s="284"/>
    </row>
    <row r="27" spans="1:18" s="6" customFormat="1" ht="20.25" hidden="1" customHeight="1" x14ac:dyDescent="0.25">
      <c r="A27" s="281" t="s">
        <v>503</v>
      </c>
      <c r="B27" s="282" t="e">
        <f>'[3]SUIVI RETRAITE '!B10</f>
        <v>#VALUE!</v>
      </c>
      <c r="C27" s="283">
        <f>'[3]SUIVI RETRAITE '!C10</f>
        <v>0</v>
      </c>
      <c r="D27" s="283">
        <f t="shared" si="10"/>
        <v>3428</v>
      </c>
      <c r="E27" s="283" t="e">
        <f t="shared" si="11"/>
        <v>#VALUE!</v>
      </c>
      <c r="F27" s="283"/>
      <c r="G27" s="283"/>
      <c r="H27" s="283"/>
      <c r="I27" s="283"/>
      <c r="J27" s="283"/>
      <c r="K27" s="283" t="e">
        <f t="shared" si="8"/>
        <v>#VALUE!</v>
      </c>
      <c r="L27" s="283" t="e">
        <f t="shared" si="12"/>
        <v>#VALUE!</v>
      </c>
      <c r="M27" s="283" t="e">
        <f t="shared" si="9"/>
        <v>#VALUE!</v>
      </c>
      <c r="N27" s="283" t="e">
        <f t="shared" si="13"/>
        <v>#VALUE!</v>
      </c>
      <c r="R27" s="284"/>
    </row>
    <row r="28" spans="1:18" s="6" customFormat="1" ht="20.25" hidden="1" customHeight="1" x14ac:dyDescent="0.25">
      <c r="A28" s="281" t="s">
        <v>504</v>
      </c>
      <c r="B28" s="282" t="e">
        <f>'[3]SUIVI RETRAITE '!B11</f>
        <v>#VALUE!</v>
      </c>
      <c r="C28" s="283">
        <f>'[3]SUIVI RETRAITE '!C11</f>
        <v>0</v>
      </c>
      <c r="D28" s="283">
        <f t="shared" si="10"/>
        <v>3428</v>
      </c>
      <c r="E28" s="283" t="e">
        <f t="shared" si="11"/>
        <v>#VALUE!</v>
      </c>
      <c r="F28" s="283"/>
      <c r="G28" s="283"/>
      <c r="H28" s="283"/>
      <c r="I28" s="283"/>
      <c r="J28" s="283"/>
      <c r="K28" s="283" t="e">
        <f t="shared" si="8"/>
        <v>#VALUE!</v>
      </c>
      <c r="L28" s="283" t="e">
        <f t="shared" si="12"/>
        <v>#VALUE!</v>
      </c>
      <c r="M28" s="283" t="e">
        <f t="shared" si="9"/>
        <v>#VALUE!</v>
      </c>
      <c r="N28" s="283" t="e">
        <f t="shared" si="13"/>
        <v>#VALUE!</v>
      </c>
      <c r="R28" s="284"/>
    </row>
    <row r="29" spans="1:18" s="6" customFormat="1" ht="20.25" hidden="1" customHeight="1" x14ac:dyDescent="0.25">
      <c r="A29" s="281" t="s">
        <v>505</v>
      </c>
      <c r="B29" s="282" t="e">
        <f>'[3]SUIVI RETRAITE '!B12</f>
        <v>#VALUE!</v>
      </c>
      <c r="C29" s="283">
        <f>'[3]SUIVI RETRAITE '!C12</f>
        <v>0</v>
      </c>
      <c r="D29" s="285">
        <f t="shared" si="10"/>
        <v>3428</v>
      </c>
      <c r="E29" s="285" t="e">
        <f t="shared" si="11"/>
        <v>#VALUE!</v>
      </c>
      <c r="F29" s="285"/>
      <c r="G29" s="285"/>
      <c r="H29" s="285"/>
      <c r="I29" s="285"/>
      <c r="J29" s="285"/>
      <c r="K29" s="283" t="e">
        <f t="shared" si="8"/>
        <v>#VALUE!</v>
      </c>
      <c r="L29" s="283" t="e">
        <f t="shared" si="12"/>
        <v>#VALUE!</v>
      </c>
      <c r="M29" s="283" t="e">
        <f t="shared" si="9"/>
        <v>#VALUE!</v>
      </c>
      <c r="N29" s="283" t="e">
        <f t="shared" si="13"/>
        <v>#VALUE!</v>
      </c>
      <c r="R29" s="284"/>
    </row>
    <row r="30" spans="1:18" s="6" customFormat="1" ht="20.25" hidden="1" customHeight="1" x14ac:dyDescent="0.25">
      <c r="A30" s="281" t="s">
        <v>506</v>
      </c>
      <c r="B30" s="282" t="e">
        <f>'[3]SUIVI RETRAITE '!B13</f>
        <v>#VALUE!</v>
      </c>
      <c r="C30" s="283">
        <f>'[3]SUIVI RETRAITE '!C13</f>
        <v>0</v>
      </c>
      <c r="D30" s="285">
        <f t="shared" si="10"/>
        <v>3428</v>
      </c>
      <c r="E30" s="285" t="e">
        <f t="shared" si="11"/>
        <v>#VALUE!</v>
      </c>
      <c r="F30" s="285"/>
      <c r="G30" s="285"/>
      <c r="H30" s="285"/>
      <c r="I30" s="285"/>
      <c r="J30" s="285"/>
      <c r="K30" s="283" t="e">
        <f t="shared" si="8"/>
        <v>#VALUE!</v>
      </c>
      <c r="L30" s="283" t="e">
        <f t="shared" si="12"/>
        <v>#VALUE!</v>
      </c>
      <c r="M30" s="283" t="e">
        <f t="shared" si="9"/>
        <v>#VALUE!</v>
      </c>
      <c r="N30" s="283" t="e">
        <f t="shared" si="13"/>
        <v>#VALUE!</v>
      </c>
    </row>
    <row r="31" spans="1:18" s="6" customFormat="1" ht="20.25" hidden="1" customHeight="1" x14ac:dyDescent="0.25">
      <c r="A31" s="281" t="s">
        <v>507</v>
      </c>
      <c r="B31" s="282" t="e">
        <f>'[3]SUIVI RETRAITE '!B14</f>
        <v>#VALUE!</v>
      </c>
      <c r="C31" s="283">
        <f>'[3]SUIVI RETRAITE '!C14</f>
        <v>0</v>
      </c>
      <c r="D31" s="285">
        <f t="shared" si="10"/>
        <v>3428</v>
      </c>
      <c r="E31" s="285" t="e">
        <f t="shared" si="11"/>
        <v>#VALUE!</v>
      </c>
      <c r="F31" s="285"/>
      <c r="G31" s="285"/>
      <c r="H31" s="285"/>
      <c r="I31" s="285"/>
      <c r="J31" s="285"/>
      <c r="K31" s="283" t="e">
        <f t="shared" si="8"/>
        <v>#VALUE!</v>
      </c>
      <c r="L31" s="283" t="e">
        <f t="shared" si="12"/>
        <v>#VALUE!</v>
      </c>
      <c r="M31" s="283" t="e">
        <f t="shared" si="9"/>
        <v>#VALUE!</v>
      </c>
      <c r="N31" s="283" t="e">
        <f t="shared" si="13"/>
        <v>#VALUE!</v>
      </c>
    </row>
    <row r="32" spans="1:18" s="6" customFormat="1" ht="20.25" hidden="1" customHeight="1" x14ac:dyDescent="0.25">
      <c r="A32" s="281" t="s">
        <v>508</v>
      </c>
      <c r="B32" s="282" t="e">
        <f>'[3]SUIVI RETRAITE '!B15</f>
        <v>#VALUE!</v>
      </c>
      <c r="C32" s="283">
        <f>'[3]SUIVI RETRAITE '!C15</f>
        <v>0</v>
      </c>
      <c r="D32" s="285">
        <f t="shared" si="10"/>
        <v>3428</v>
      </c>
      <c r="E32" s="285" t="e">
        <f t="shared" si="11"/>
        <v>#VALUE!</v>
      </c>
      <c r="F32" s="285"/>
      <c r="G32" s="285"/>
      <c r="H32" s="285"/>
      <c r="I32" s="285"/>
      <c r="J32" s="285"/>
      <c r="K32" s="283" t="e">
        <f t="shared" si="8"/>
        <v>#VALUE!</v>
      </c>
      <c r="L32" s="283" t="e">
        <f t="shared" si="12"/>
        <v>#VALUE!</v>
      </c>
      <c r="M32" s="283" t="e">
        <f t="shared" si="9"/>
        <v>#VALUE!</v>
      </c>
      <c r="N32" s="283" t="e">
        <f t="shared" si="13"/>
        <v>#VALUE!</v>
      </c>
      <c r="R32" s="286"/>
    </row>
    <row r="33" spans="1:33" s="6" customFormat="1" ht="20.25" hidden="1" customHeight="1" x14ac:dyDescent="0.25">
      <c r="A33" s="281" t="s">
        <v>509</v>
      </c>
      <c r="B33" s="282" t="e">
        <f>'[3]SUIVI RETRAITE '!B16</f>
        <v>#VALUE!</v>
      </c>
      <c r="C33" s="283">
        <f>'[3]SUIVI RETRAITE '!C16</f>
        <v>0</v>
      </c>
      <c r="D33" s="285">
        <f t="shared" si="10"/>
        <v>3428</v>
      </c>
      <c r="E33" s="285" t="e">
        <f t="shared" si="11"/>
        <v>#VALUE!</v>
      </c>
      <c r="F33" s="285"/>
      <c r="G33" s="285"/>
      <c r="H33" s="285"/>
      <c r="I33" s="285"/>
      <c r="J33" s="285"/>
      <c r="K33" s="283" t="e">
        <f t="shared" si="8"/>
        <v>#VALUE!</v>
      </c>
      <c r="L33" s="283" t="e">
        <f t="shared" si="12"/>
        <v>#VALUE!</v>
      </c>
      <c r="M33" s="283" t="e">
        <f t="shared" si="9"/>
        <v>#VALUE!</v>
      </c>
      <c r="N33" s="283" t="e">
        <f t="shared" si="13"/>
        <v>#VALUE!</v>
      </c>
      <c r="R33" s="284"/>
    </row>
    <row r="34" spans="1:33" s="6" customFormat="1" ht="20.25" hidden="1" customHeight="1" x14ac:dyDescent="0.25">
      <c r="A34" s="281" t="s">
        <v>510</v>
      </c>
      <c r="B34" s="282" t="e">
        <f>'[3]SUIVI RETRAITE '!B17</f>
        <v>#VALUE!</v>
      </c>
      <c r="C34" s="283">
        <f>'[3]SUIVI RETRAITE '!C17</f>
        <v>0</v>
      </c>
      <c r="D34" s="285">
        <f t="shared" si="10"/>
        <v>3428</v>
      </c>
      <c r="E34" s="285" t="e">
        <f t="shared" si="11"/>
        <v>#VALUE!</v>
      </c>
      <c r="F34" s="285"/>
      <c r="G34" s="285"/>
      <c r="H34" s="285"/>
      <c r="I34" s="285"/>
      <c r="J34" s="285"/>
      <c r="K34" s="283" t="e">
        <f t="shared" si="8"/>
        <v>#VALUE!</v>
      </c>
      <c r="L34" s="283" t="e">
        <f t="shared" si="12"/>
        <v>#VALUE!</v>
      </c>
      <c r="M34" s="283" t="e">
        <f t="shared" si="9"/>
        <v>#VALUE!</v>
      </c>
      <c r="N34" s="283" t="e">
        <f t="shared" si="13"/>
        <v>#VALUE!</v>
      </c>
      <c r="R34" s="284"/>
    </row>
    <row r="35" spans="1:33" s="6" customFormat="1" ht="20.25" hidden="1" customHeight="1" x14ac:dyDescent="0.25">
      <c r="A35" s="281" t="s">
        <v>511</v>
      </c>
      <c r="B35" s="282" t="e">
        <f>'[3]SUIVI RETRAITE '!B18</f>
        <v>#VALUE!</v>
      </c>
      <c r="C35" s="283">
        <f>'[3]SUIVI RETRAITE '!C18</f>
        <v>0</v>
      </c>
      <c r="D35" s="285">
        <f t="shared" si="10"/>
        <v>3428</v>
      </c>
      <c r="E35" s="285" t="e">
        <f t="shared" si="11"/>
        <v>#VALUE!</v>
      </c>
      <c r="F35" s="285"/>
      <c r="G35" s="285"/>
      <c r="H35" s="285"/>
      <c r="I35" s="285"/>
      <c r="J35" s="285"/>
      <c r="K35" s="283" t="e">
        <f t="shared" si="8"/>
        <v>#VALUE!</v>
      </c>
      <c r="L35" s="283" t="e">
        <f t="shared" si="12"/>
        <v>#VALUE!</v>
      </c>
      <c r="M35" s="283" t="e">
        <f t="shared" si="9"/>
        <v>#VALUE!</v>
      </c>
      <c r="N35" s="283" t="e">
        <f t="shared" si="13"/>
        <v>#VALUE!</v>
      </c>
      <c r="R35" s="284"/>
    </row>
    <row r="36" spans="1:33" s="6" customFormat="1" ht="20.25" hidden="1" customHeight="1" x14ac:dyDescent="0.25">
      <c r="A36" s="287"/>
      <c r="B36" s="288" t="e">
        <f>'[3]SUIVI RETRAITE '!B19</f>
        <v>#VALUE!</v>
      </c>
      <c r="C36" s="289">
        <f>'[3]SUIVI RETRAITE '!C19</f>
        <v>0</v>
      </c>
      <c r="D36" s="276"/>
      <c r="E36" s="276"/>
      <c r="F36" s="276"/>
      <c r="G36" s="276"/>
      <c r="H36" s="276"/>
      <c r="I36" s="276"/>
      <c r="J36" s="276"/>
      <c r="K36" s="276"/>
      <c r="L36" s="276"/>
      <c r="M36" s="276"/>
      <c r="N36" s="276"/>
      <c r="R36" s="284"/>
    </row>
    <row r="37" spans="1:33" s="6" customFormat="1" ht="20.25" customHeight="1" x14ac:dyDescent="0.25">
      <c r="A37" s="290"/>
      <c r="B37" s="290"/>
      <c r="C37" s="276"/>
      <c r="D37" s="276"/>
      <c r="E37" s="276"/>
      <c r="F37" s="276"/>
      <c r="G37" s="276"/>
      <c r="H37" s="276"/>
      <c r="I37" s="276"/>
      <c r="J37" s="276"/>
      <c r="K37" s="276"/>
      <c r="L37" s="276"/>
      <c r="M37" s="276"/>
      <c r="N37" s="276"/>
      <c r="R37" s="284"/>
    </row>
    <row r="38" spans="1:33" s="6" customFormat="1" ht="20.25" customHeight="1" x14ac:dyDescent="0.25">
      <c r="A38" s="291"/>
      <c r="B38" s="609" t="s">
        <v>489</v>
      </c>
      <c r="C38" s="609"/>
      <c r="D38" s="292"/>
      <c r="E38" s="726" t="s">
        <v>526</v>
      </c>
      <c r="F38" s="726"/>
      <c r="G38" s="725"/>
      <c r="H38" s="725"/>
      <c r="I38" s="725"/>
      <c r="J38" s="725"/>
      <c r="K38" s="725"/>
      <c r="L38" s="276"/>
      <c r="M38" s="276"/>
      <c r="N38" s="276"/>
      <c r="R38" s="284"/>
    </row>
    <row r="39" spans="1:33" ht="30" customHeight="1" x14ac:dyDescent="0.3">
      <c r="A39" s="291"/>
      <c r="B39" s="15"/>
      <c r="D39" s="293" t="s">
        <v>527</v>
      </c>
      <c r="E39" s="293" t="s">
        <v>528</v>
      </c>
      <c r="F39" s="293" t="s">
        <v>529</v>
      </c>
      <c r="G39" s="294"/>
      <c r="H39" s="294"/>
      <c r="I39" s="294"/>
      <c r="J39" s="294"/>
      <c r="L39" s="295" t="s">
        <v>528</v>
      </c>
      <c r="M39" s="293" t="s">
        <v>529</v>
      </c>
      <c r="N39" s="293" t="s">
        <v>528</v>
      </c>
      <c r="O39" s="293" t="s">
        <v>529</v>
      </c>
      <c r="P39" s="293" t="s">
        <v>528</v>
      </c>
      <c r="Q39" s="293" t="s">
        <v>529</v>
      </c>
      <c r="R39" s="293" t="s">
        <v>528</v>
      </c>
      <c r="S39" s="293" t="s">
        <v>529</v>
      </c>
      <c r="T39" s="293" t="s">
        <v>528</v>
      </c>
      <c r="U39" s="293" t="s">
        <v>529</v>
      </c>
      <c r="V39" s="293" t="s">
        <v>528</v>
      </c>
      <c r="W39" s="293" t="s">
        <v>529</v>
      </c>
      <c r="X39" s="293" t="s">
        <v>528</v>
      </c>
      <c r="Y39" s="293" t="s">
        <v>529</v>
      </c>
      <c r="Z39" s="293" t="s">
        <v>528</v>
      </c>
      <c r="AA39" s="293" t="s">
        <v>529</v>
      </c>
      <c r="AB39" s="293" t="s">
        <v>528</v>
      </c>
      <c r="AC39" s="293" t="s">
        <v>529</v>
      </c>
      <c r="AD39" s="293" t="s">
        <v>528</v>
      </c>
      <c r="AE39" s="293" t="s">
        <v>529</v>
      </c>
      <c r="AF39" s="293" t="s">
        <v>528</v>
      </c>
      <c r="AG39" s="293" t="s">
        <v>529</v>
      </c>
    </row>
    <row r="40" spans="1:33" ht="20.25" customHeight="1" x14ac:dyDescent="0.3">
      <c r="A40" s="291"/>
      <c r="B40" s="721" t="s">
        <v>400</v>
      </c>
      <c r="C40" s="721"/>
      <c r="D40" s="296">
        <f>'BP FORMAT JUILLET 2023'!D51</f>
        <v>6.9000000000000006E-2</v>
      </c>
      <c r="E40" s="297">
        <f>'BP FORMAT JUILLET 2023'!C51</f>
        <v>3262.3</v>
      </c>
      <c r="F40" s="298">
        <f t="shared" ref="F40:F47" si="14">ROUND(E40*D40,2)</f>
        <v>225.1</v>
      </c>
      <c r="G40" s="299"/>
      <c r="H40" s="300"/>
      <c r="I40" s="300"/>
      <c r="J40" s="300"/>
      <c r="L40" s="301">
        <f>L4</f>
        <v>0</v>
      </c>
      <c r="M40" s="298">
        <f t="shared" ref="M40:M48" si="15">ROUND(L40*D40/100,2)</f>
        <v>0</v>
      </c>
      <c r="N40" s="298" t="e">
        <f>L5</f>
        <v>#VALUE!</v>
      </c>
      <c r="O40" s="298" t="e">
        <f t="shared" ref="O40:O48" si="16">ROUND(N40*D40/100,2)</f>
        <v>#VALUE!</v>
      </c>
      <c r="P40" s="298" t="e">
        <f>L6</f>
        <v>#VALUE!</v>
      </c>
      <c r="Q40" s="298" t="e">
        <f t="shared" ref="Q40:Q48" si="17">ROUND(P40*D40/100,2)</f>
        <v>#VALUE!</v>
      </c>
      <c r="R40" s="298" t="e">
        <f>L7</f>
        <v>#VALUE!</v>
      </c>
      <c r="S40" s="298" t="e">
        <f t="shared" ref="S40:S46" si="18">ROUND(R40*D40/100,2)</f>
        <v>#VALUE!</v>
      </c>
      <c r="T40" s="298" t="e">
        <f>+L8</f>
        <v>#VALUE!</v>
      </c>
      <c r="U40" s="298" t="e">
        <f>+ROUND(T40*D40/100,2)</f>
        <v>#VALUE!</v>
      </c>
      <c r="V40" s="302" t="e">
        <f>L9</f>
        <v>#VALUE!</v>
      </c>
      <c r="W40" s="303" t="e">
        <f>ROUND(V40*D40/100,2)</f>
        <v>#VALUE!</v>
      </c>
      <c r="X40" s="302" t="e">
        <f>L10</f>
        <v>#VALUE!</v>
      </c>
      <c r="Y40" s="303" t="e">
        <f>ROUND(X40*D40/100,2)</f>
        <v>#VALUE!</v>
      </c>
      <c r="Z40" s="302" t="e">
        <f>L11</f>
        <v>#VALUE!</v>
      </c>
      <c r="AA40" s="303" t="e">
        <f>ROUND(Z40*D40/100,2)</f>
        <v>#VALUE!</v>
      </c>
      <c r="AB40" s="302" t="e">
        <f>L12</f>
        <v>#VALUE!</v>
      </c>
      <c r="AC40" s="303" t="e">
        <f>ROUND(AB40*D40/100,2)</f>
        <v>#VALUE!</v>
      </c>
      <c r="AD40" s="302" t="e">
        <f>L13</f>
        <v>#VALUE!</v>
      </c>
      <c r="AE40" s="303" t="e">
        <f>ROUND(AD40*D40/100,2)</f>
        <v>#VALUE!</v>
      </c>
      <c r="AF40" s="302" t="e">
        <f>L14</f>
        <v>#VALUE!</v>
      </c>
      <c r="AG40" s="303" t="e">
        <f>ROUND(AF40*D40/100,2)</f>
        <v>#VALUE!</v>
      </c>
    </row>
    <row r="41" spans="1:33" ht="20.25" customHeight="1" x14ac:dyDescent="0.3">
      <c r="A41" s="291"/>
      <c r="B41" s="721" t="s">
        <v>401</v>
      </c>
      <c r="C41" s="721"/>
      <c r="D41" s="296">
        <f>'BP FORMAT JUILLET 2023'!D52</f>
        <v>4.0000000000000001E-3</v>
      </c>
      <c r="E41" s="297">
        <f>'BP FORMAT JUILLET 2023'!C52</f>
        <v>3262.3</v>
      </c>
      <c r="F41" s="298">
        <f t="shared" si="14"/>
        <v>13.05</v>
      </c>
      <c r="G41" s="299"/>
      <c r="H41" s="300"/>
      <c r="I41" s="300"/>
      <c r="J41" s="300"/>
      <c r="L41" s="301">
        <f>B4</f>
        <v>0</v>
      </c>
      <c r="M41" s="298">
        <f t="shared" si="15"/>
        <v>0</v>
      </c>
      <c r="N41" s="298" t="e">
        <f>B5</f>
        <v>#VALUE!</v>
      </c>
      <c r="O41" s="298" t="e">
        <f t="shared" si="16"/>
        <v>#VALUE!</v>
      </c>
      <c r="P41" s="298" t="e">
        <f>B6</f>
        <v>#VALUE!</v>
      </c>
      <c r="Q41" s="298" t="e">
        <f t="shared" si="17"/>
        <v>#VALUE!</v>
      </c>
      <c r="R41" s="298" t="e">
        <f>B7</f>
        <v>#VALUE!</v>
      </c>
      <c r="S41" s="298" t="e">
        <f t="shared" si="18"/>
        <v>#VALUE!</v>
      </c>
      <c r="T41" s="298" t="e">
        <f>E8</f>
        <v>#VALUE!</v>
      </c>
      <c r="U41" s="298" t="e">
        <f t="shared" ref="U41:U48" si="19">ROUND(T41*D41/100,2)</f>
        <v>#VALUE!</v>
      </c>
      <c r="V41" s="304" t="e">
        <f>E9</f>
        <v>#VALUE!</v>
      </c>
      <c r="W41" s="303" t="e">
        <f>ROUND(V41*D41/100,2)</f>
        <v>#VALUE!</v>
      </c>
      <c r="X41" s="302" t="e">
        <f>E10</f>
        <v>#VALUE!</v>
      </c>
      <c r="Y41" s="303" t="e">
        <f>ROUND(X41*D41/100,2)</f>
        <v>#VALUE!</v>
      </c>
      <c r="Z41" s="302" t="e">
        <f>E11</f>
        <v>#VALUE!</v>
      </c>
      <c r="AA41" s="303" t="e">
        <f>ROUND(Z41*D41/100,2)</f>
        <v>#VALUE!</v>
      </c>
      <c r="AB41" s="302" t="e">
        <f>E12</f>
        <v>#VALUE!</v>
      </c>
      <c r="AC41" s="303" t="e">
        <f>ROUND(AB41*D41/100,2)</f>
        <v>#VALUE!</v>
      </c>
      <c r="AD41" s="302" t="e">
        <f>E13</f>
        <v>#VALUE!</v>
      </c>
      <c r="AE41" s="303" t="e">
        <f>ROUND(AD41*D41/100,2)</f>
        <v>#VALUE!</v>
      </c>
      <c r="AF41" s="302" t="e">
        <f>E14</f>
        <v>#VALUE!</v>
      </c>
      <c r="AG41" s="303" t="e">
        <f>ROUND(AF41*D41/100,2)</f>
        <v>#VALUE!</v>
      </c>
    </row>
    <row r="42" spans="1:33" ht="20.25" customHeight="1" x14ac:dyDescent="0.3">
      <c r="A42" s="291"/>
      <c r="B42" s="721" t="s">
        <v>402</v>
      </c>
      <c r="C42" s="721"/>
      <c r="D42" s="296">
        <f>'BP FORMAT JUILLET 2023'!D53</f>
        <v>4.0099999999999997E-2</v>
      </c>
      <c r="E42" s="297">
        <f>'BP FORMAT JUILLET 2023'!C53</f>
        <v>3262.3</v>
      </c>
      <c r="F42" s="298">
        <f t="shared" si="14"/>
        <v>130.82</v>
      </c>
      <c r="G42" s="299"/>
      <c r="H42" s="300"/>
      <c r="I42" s="300"/>
      <c r="J42" s="300"/>
      <c r="L42" s="301">
        <f>L4</f>
        <v>0</v>
      </c>
      <c r="M42" s="298">
        <f t="shared" si="15"/>
        <v>0</v>
      </c>
      <c r="N42" s="298" t="e">
        <f>L5</f>
        <v>#VALUE!</v>
      </c>
      <c r="O42" s="298" t="e">
        <f t="shared" si="16"/>
        <v>#VALUE!</v>
      </c>
      <c r="P42" s="298" t="e">
        <f>P40</f>
        <v>#VALUE!</v>
      </c>
      <c r="Q42" s="298" t="e">
        <f t="shared" si="17"/>
        <v>#VALUE!</v>
      </c>
      <c r="R42" s="298" t="e">
        <f>R40</f>
        <v>#VALUE!</v>
      </c>
      <c r="S42" s="298" t="e">
        <f t="shared" si="18"/>
        <v>#VALUE!</v>
      </c>
      <c r="T42" s="298" t="e">
        <f>T40</f>
        <v>#VALUE!</v>
      </c>
      <c r="U42" s="298" t="e">
        <f t="shared" si="19"/>
        <v>#VALUE!</v>
      </c>
      <c r="V42" s="302" t="e">
        <f>V40</f>
        <v>#VALUE!</v>
      </c>
      <c r="W42" s="303" t="e">
        <f>ROUND(V42*D42/100,2)</f>
        <v>#VALUE!</v>
      </c>
      <c r="X42" s="302" t="e">
        <f>X40</f>
        <v>#VALUE!</v>
      </c>
      <c r="Y42" s="303" t="e">
        <f>ROUND(X42*D42/100,2)</f>
        <v>#VALUE!</v>
      </c>
      <c r="Z42" s="302" t="e">
        <f>Z40</f>
        <v>#VALUE!</v>
      </c>
      <c r="AA42" s="303" t="e">
        <f>ROUND(Z42*D42/100,2)</f>
        <v>#VALUE!</v>
      </c>
      <c r="AB42" s="302" t="e">
        <f>AB40</f>
        <v>#VALUE!</v>
      </c>
      <c r="AC42" s="303" t="e">
        <f>ROUND(AB42*D42/100,2)</f>
        <v>#VALUE!</v>
      </c>
      <c r="AD42" s="302" t="e">
        <f>AD40</f>
        <v>#VALUE!</v>
      </c>
      <c r="AE42" s="303" t="e">
        <f>ROUND(AD42*D42/100,2)</f>
        <v>#VALUE!</v>
      </c>
      <c r="AF42" s="302" t="e">
        <f>AF40</f>
        <v>#VALUE!</v>
      </c>
      <c r="AG42" s="303" t="e">
        <f>ROUND(AF42*D42/100,2)</f>
        <v>#VALUE!</v>
      </c>
    </row>
    <row r="43" spans="1:33" ht="20.25" customHeight="1" x14ac:dyDescent="0.3">
      <c r="A43" s="291"/>
      <c r="B43" s="721" t="s">
        <v>403</v>
      </c>
      <c r="C43" s="721"/>
      <c r="D43" s="296">
        <f>'BP FORMAT JUILLET 2023'!D54</f>
        <v>0</v>
      </c>
      <c r="E43" s="297">
        <f>'BP FORMAT JUILLET 2023'!C54</f>
        <v>0</v>
      </c>
      <c r="F43" s="298">
        <f t="shared" si="14"/>
        <v>0</v>
      </c>
      <c r="G43" s="299"/>
      <c r="H43" s="300"/>
      <c r="I43" s="300"/>
      <c r="J43" s="300"/>
      <c r="L43" s="301">
        <f>P4</f>
        <v>0</v>
      </c>
      <c r="M43" s="298">
        <f t="shared" si="15"/>
        <v>0</v>
      </c>
      <c r="N43" s="298" t="e">
        <f>P5</f>
        <v>#VALUE!</v>
      </c>
      <c r="O43" s="298" t="e">
        <f t="shared" si="16"/>
        <v>#VALUE!</v>
      </c>
      <c r="P43" s="298" t="e">
        <f>P6</f>
        <v>#VALUE!</v>
      </c>
      <c r="Q43" s="298" t="e">
        <f t="shared" si="17"/>
        <v>#VALUE!</v>
      </c>
      <c r="R43" s="298" t="e">
        <f>P7</f>
        <v>#VALUE!</v>
      </c>
      <c r="S43" s="298" t="e">
        <f t="shared" si="18"/>
        <v>#VALUE!</v>
      </c>
      <c r="T43" s="298" t="e">
        <f>P8</f>
        <v>#VALUE!</v>
      </c>
      <c r="U43" s="298" t="e">
        <f t="shared" si="19"/>
        <v>#VALUE!</v>
      </c>
      <c r="V43" s="302" t="e">
        <f>P9</f>
        <v>#VALUE!</v>
      </c>
      <c r="W43" s="303" t="e">
        <f>ROUND(V43*D43/100,2)</f>
        <v>#VALUE!</v>
      </c>
      <c r="X43" s="302" t="e">
        <f>P10</f>
        <v>#VALUE!</v>
      </c>
      <c r="Y43" s="303" t="e">
        <f>ROUND(X43*D43/100,2)</f>
        <v>#VALUE!</v>
      </c>
      <c r="Z43" s="302" t="e">
        <f>P11</f>
        <v>#VALUE!</v>
      </c>
      <c r="AA43" s="303" t="e">
        <f>ROUND(Z43*D43/100,2)</f>
        <v>#VALUE!</v>
      </c>
      <c r="AB43" s="302" t="e">
        <f>P12</f>
        <v>#VALUE!</v>
      </c>
      <c r="AC43" s="303" t="e">
        <f>ROUND(AB43*D43/100,2)</f>
        <v>#VALUE!</v>
      </c>
      <c r="AD43" s="302" t="e">
        <f>P13</f>
        <v>#VALUE!</v>
      </c>
      <c r="AE43" s="303" t="e">
        <f>ROUND(AD43*D43/100,2)</f>
        <v>#VALUE!</v>
      </c>
      <c r="AF43" s="302" t="e">
        <f>P14</f>
        <v>#VALUE!</v>
      </c>
      <c r="AG43" s="303" t="e">
        <f>ROUND(AF43*D43/100,2)</f>
        <v>#VALUE!</v>
      </c>
    </row>
    <row r="44" spans="1:33" ht="21.75" hidden="1" customHeight="1" x14ac:dyDescent="0.3">
      <c r="A44" s="291"/>
      <c r="B44" s="721"/>
      <c r="C44" s="721"/>
      <c r="D44" s="305"/>
      <c r="E44" s="297"/>
      <c r="F44" s="298">
        <f t="shared" si="14"/>
        <v>0</v>
      </c>
      <c r="G44" s="299"/>
      <c r="H44" s="300"/>
      <c r="I44" s="300"/>
      <c r="J44" s="300"/>
      <c r="L44" s="301">
        <f>L42</f>
        <v>0</v>
      </c>
      <c r="M44" s="298">
        <f t="shared" si="15"/>
        <v>0</v>
      </c>
      <c r="N44" s="298" t="e">
        <f>N42</f>
        <v>#VALUE!</v>
      </c>
      <c r="O44" s="298" t="e">
        <f t="shared" si="16"/>
        <v>#VALUE!</v>
      </c>
      <c r="P44" s="298" t="e">
        <f>P42</f>
        <v>#VALUE!</v>
      </c>
      <c r="Q44" s="298" t="e">
        <f t="shared" si="17"/>
        <v>#VALUE!</v>
      </c>
      <c r="R44" s="298" t="e">
        <f>R42</f>
        <v>#VALUE!</v>
      </c>
      <c r="S44" s="298" t="e">
        <f t="shared" si="18"/>
        <v>#VALUE!</v>
      </c>
      <c r="T44" s="298" t="e">
        <f>T42</f>
        <v>#VALUE!</v>
      </c>
      <c r="U44" s="298" t="e">
        <f t="shared" si="19"/>
        <v>#VALUE!</v>
      </c>
      <c r="V44" s="302" t="e">
        <f>V42</f>
        <v>#VALUE!</v>
      </c>
      <c r="W44" s="303" t="e">
        <f>ROUND(V44*D44/100,2)</f>
        <v>#VALUE!</v>
      </c>
      <c r="X44" s="302" t="e">
        <f>+X42</f>
        <v>#VALUE!</v>
      </c>
      <c r="Y44" s="303" t="e">
        <f>ROUND($D$44*X44/100,2)</f>
        <v>#VALUE!</v>
      </c>
      <c r="Z44" s="302" t="e">
        <f>+Z42</f>
        <v>#VALUE!</v>
      </c>
      <c r="AA44" s="303" t="e">
        <f>ROUND($D$44*Z44/100,2)</f>
        <v>#VALUE!</v>
      </c>
      <c r="AB44" s="302" t="e">
        <f>+AB42</f>
        <v>#VALUE!</v>
      </c>
      <c r="AC44" s="303" t="e">
        <f>ROUND($D$44*AB44/100,2)</f>
        <v>#VALUE!</v>
      </c>
      <c r="AD44" s="302" t="e">
        <f>+AD42</f>
        <v>#VALUE!</v>
      </c>
      <c r="AE44" s="303" t="e">
        <f>ROUND($D$44*AD44/100,2)</f>
        <v>#VALUE!</v>
      </c>
      <c r="AF44" s="302" t="e">
        <f>+AF42</f>
        <v>#VALUE!</v>
      </c>
      <c r="AG44" s="303" t="e">
        <f>ROUND($D$44*AF44/100,2)</f>
        <v>#VALUE!</v>
      </c>
    </row>
    <row r="45" spans="1:33" ht="21.75" hidden="1" customHeight="1" x14ac:dyDescent="0.3">
      <c r="A45" s="291"/>
      <c r="B45" s="721"/>
      <c r="C45" s="721"/>
      <c r="D45" s="305"/>
      <c r="E45" s="297"/>
      <c r="F45" s="298">
        <f t="shared" si="14"/>
        <v>0</v>
      </c>
      <c r="G45" s="299"/>
      <c r="H45" s="300"/>
      <c r="I45" s="300"/>
      <c r="J45" s="300"/>
      <c r="L45" s="301">
        <f>L43</f>
        <v>0</v>
      </c>
      <c r="M45" s="298">
        <f t="shared" si="15"/>
        <v>0</v>
      </c>
      <c r="N45" s="298" t="e">
        <f>N43</f>
        <v>#VALUE!</v>
      </c>
      <c r="O45" s="298" t="e">
        <f t="shared" si="16"/>
        <v>#VALUE!</v>
      </c>
      <c r="P45" s="298" t="e">
        <f>P43</f>
        <v>#VALUE!</v>
      </c>
      <c r="Q45" s="298" t="e">
        <f t="shared" si="17"/>
        <v>#VALUE!</v>
      </c>
      <c r="R45" s="298" t="e">
        <f>R43</f>
        <v>#VALUE!</v>
      </c>
      <c r="S45" s="298" t="e">
        <f t="shared" si="18"/>
        <v>#VALUE!</v>
      </c>
      <c r="T45" s="298" t="e">
        <f>T43</f>
        <v>#VALUE!</v>
      </c>
      <c r="U45" s="298" t="e">
        <f t="shared" si="19"/>
        <v>#VALUE!</v>
      </c>
      <c r="V45" s="302" t="e">
        <f>V43</f>
        <v>#VALUE!</v>
      </c>
      <c r="W45" s="303" t="e">
        <f>ROUND($D$45*V45/100,2)</f>
        <v>#VALUE!</v>
      </c>
      <c r="X45" s="302" t="e">
        <f>X43</f>
        <v>#VALUE!</v>
      </c>
      <c r="Y45" s="303" t="e">
        <f>ROUND($D$45*X45/100,2)</f>
        <v>#VALUE!</v>
      </c>
      <c r="Z45" s="302" t="e">
        <f>Z43</f>
        <v>#VALUE!</v>
      </c>
      <c r="AA45" s="303" t="e">
        <f>ROUND($D$45*Z45/100,2)</f>
        <v>#VALUE!</v>
      </c>
      <c r="AB45" s="302" t="e">
        <f>AB43</f>
        <v>#VALUE!</v>
      </c>
      <c r="AC45" s="303" t="e">
        <f>ROUND($D$45*AB45/100,2)</f>
        <v>#VALUE!</v>
      </c>
      <c r="AD45" s="302" t="e">
        <f>AD43</f>
        <v>#VALUE!</v>
      </c>
      <c r="AE45" s="303" t="e">
        <f>ROUND($D$45*AD45/100,2)</f>
        <v>#VALUE!</v>
      </c>
      <c r="AF45" s="302" t="e">
        <f>AF43</f>
        <v>#VALUE!</v>
      </c>
      <c r="AG45" s="303" t="e">
        <f>ROUND($D$45*AF45/100,2)</f>
        <v>#VALUE!</v>
      </c>
    </row>
    <row r="46" spans="1:33" ht="21.75" hidden="1" customHeight="1" x14ac:dyDescent="0.3">
      <c r="A46" s="291"/>
      <c r="B46" s="721"/>
      <c r="C46" s="721"/>
      <c r="D46" s="305"/>
      <c r="E46" s="297"/>
      <c r="F46" s="298">
        <f t="shared" si="14"/>
        <v>0</v>
      </c>
      <c r="G46" s="299"/>
      <c r="H46" s="300"/>
      <c r="I46" s="300"/>
      <c r="J46" s="300"/>
      <c r="L46" s="301">
        <f>L25</f>
        <v>0</v>
      </c>
      <c r="M46" s="298">
        <f t="shared" si="15"/>
        <v>0</v>
      </c>
      <c r="N46" s="298" t="e">
        <f>L26</f>
        <v>#VALUE!</v>
      </c>
      <c r="O46" s="298" t="e">
        <f t="shared" si="16"/>
        <v>#VALUE!</v>
      </c>
      <c r="P46" s="298" t="e">
        <f>L27</f>
        <v>#VALUE!</v>
      </c>
      <c r="Q46" s="298" t="e">
        <f t="shared" si="17"/>
        <v>#VALUE!</v>
      </c>
      <c r="R46" s="298" t="e">
        <f>L28</f>
        <v>#VALUE!</v>
      </c>
      <c r="S46" s="298" t="e">
        <f t="shared" si="18"/>
        <v>#VALUE!</v>
      </c>
      <c r="T46" s="298" t="e">
        <f>L29</f>
        <v>#VALUE!</v>
      </c>
      <c r="U46" s="298" t="e">
        <f t="shared" si="19"/>
        <v>#VALUE!</v>
      </c>
      <c r="V46" s="302" t="e">
        <f>L30</f>
        <v>#VALUE!</v>
      </c>
      <c r="W46" s="303" t="e">
        <f>ROUND(V46*$D$46/100,2)</f>
        <v>#VALUE!</v>
      </c>
      <c r="X46" s="302" t="e">
        <f>L31</f>
        <v>#VALUE!</v>
      </c>
      <c r="Y46" s="303" t="e">
        <f>ROUND(X46*$D$46/100,2)</f>
        <v>#VALUE!</v>
      </c>
      <c r="Z46" s="302" t="e">
        <f>L32</f>
        <v>#VALUE!</v>
      </c>
      <c r="AA46" s="303" t="e">
        <f>ROUND(Z46*$D$46/100,2)</f>
        <v>#VALUE!</v>
      </c>
      <c r="AB46" s="302" t="e">
        <f>L33</f>
        <v>#VALUE!</v>
      </c>
      <c r="AC46" s="303" t="e">
        <f>ROUND(AB46*$D$46/100,2)</f>
        <v>#VALUE!</v>
      </c>
      <c r="AD46" s="302" t="e">
        <f>L34</f>
        <v>#VALUE!</v>
      </c>
      <c r="AE46" s="303" t="e">
        <f>ROUND(AD46*$D$46/100,2)</f>
        <v>#VALUE!</v>
      </c>
      <c r="AF46" s="302" t="e">
        <f>L35</f>
        <v>#VALUE!</v>
      </c>
      <c r="AG46" s="303" t="e">
        <f>ROUND(AF46*$D$46/100,2)</f>
        <v>#VALUE!</v>
      </c>
    </row>
    <row r="47" spans="1:33" ht="21.75" hidden="1" customHeight="1" x14ac:dyDescent="0.3">
      <c r="A47" s="291"/>
      <c r="B47" s="721"/>
      <c r="C47" s="721"/>
      <c r="D47" s="305"/>
      <c r="E47" s="297"/>
      <c r="F47" s="298">
        <f t="shared" si="14"/>
        <v>0</v>
      </c>
      <c r="G47" s="299"/>
      <c r="H47" s="300"/>
      <c r="I47" s="300"/>
      <c r="J47" s="300"/>
      <c r="L47" s="301">
        <f>N25</f>
        <v>0</v>
      </c>
      <c r="M47" s="298">
        <f t="shared" si="15"/>
        <v>0</v>
      </c>
      <c r="N47" s="298" t="e">
        <f>N26</f>
        <v>#VALUE!</v>
      </c>
      <c r="O47" s="298" t="e">
        <f t="shared" si="16"/>
        <v>#VALUE!</v>
      </c>
      <c r="P47" s="298" t="e">
        <f>N27</f>
        <v>#VALUE!</v>
      </c>
      <c r="Q47" s="298" t="e">
        <f t="shared" si="17"/>
        <v>#VALUE!</v>
      </c>
      <c r="R47" s="298" t="e">
        <f>N28</f>
        <v>#VALUE!</v>
      </c>
      <c r="S47" s="298" t="e">
        <f>ROUND(D47*R47/100,2)</f>
        <v>#VALUE!</v>
      </c>
      <c r="T47" s="298" t="e">
        <f>N29</f>
        <v>#VALUE!</v>
      </c>
      <c r="U47" s="298" t="e">
        <f t="shared" si="19"/>
        <v>#VALUE!</v>
      </c>
      <c r="V47" s="302" t="e">
        <f>N30</f>
        <v>#VALUE!</v>
      </c>
      <c r="W47" s="303" t="e">
        <f>ROUND(V47*D47/100,2)</f>
        <v>#VALUE!</v>
      </c>
      <c r="X47" s="302" t="e">
        <f>N31</f>
        <v>#VALUE!</v>
      </c>
      <c r="Y47" s="303" t="e">
        <f>ROUND(X47*D47/100,2)</f>
        <v>#VALUE!</v>
      </c>
      <c r="Z47" s="302" t="e">
        <f>N32</f>
        <v>#VALUE!</v>
      </c>
      <c r="AA47" s="303" t="e">
        <f>ROUND(D47*Z47/100,2)</f>
        <v>#VALUE!</v>
      </c>
      <c r="AB47" s="302" t="e">
        <f>N33</f>
        <v>#VALUE!</v>
      </c>
      <c r="AC47" s="303" t="e">
        <f>ROUND(D47*AB47/100,2)</f>
        <v>#VALUE!</v>
      </c>
      <c r="AD47" s="302" t="e">
        <f>N34</f>
        <v>#VALUE!</v>
      </c>
      <c r="AE47" s="303" t="e">
        <f>ROUND(D47*AD47/100,2)</f>
        <v>#VALUE!</v>
      </c>
      <c r="AF47" s="302" t="e">
        <f>N35</f>
        <v>#VALUE!</v>
      </c>
      <c r="AG47" s="303" t="e">
        <f>ROUND(AF47*D47/100,2)</f>
        <v>#VALUE!</v>
      </c>
    </row>
    <row r="48" spans="1:33" ht="21.75" hidden="1" customHeight="1" x14ac:dyDescent="0.3">
      <c r="A48" s="291"/>
      <c r="B48" s="721"/>
      <c r="C48" s="721"/>
      <c r="D48" s="306"/>
      <c r="E48" s="307"/>
      <c r="F48" s="298"/>
      <c r="G48" s="308"/>
      <c r="H48" s="300"/>
      <c r="I48" s="300"/>
      <c r="J48" s="300"/>
      <c r="L48" s="301">
        <f>'[3]BP FEVRIER    '!C102</f>
        <v>0</v>
      </c>
      <c r="M48" s="298">
        <f t="shared" si="15"/>
        <v>0</v>
      </c>
      <c r="N48" s="298" t="e">
        <f>'[3]BP MARS   '!C102</f>
        <v>#VALUE!</v>
      </c>
      <c r="O48" s="298" t="e">
        <f t="shared" si="16"/>
        <v>#VALUE!</v>
      </c>
      <c r="P48" s="298" t="e">
        <f>'[3]BP AVRIL    '!C102</f>
        <v>#VALUE!</v>
      </c>
      <c r="Q48" s="298" t="e">
        <f t="shared" si="17"/>
        <v>#VALUE!</v>
      </c>
      <c r="R48" s="298" t="e">
        <f>'[3]BP MAI     '!C102</f>
        <v>#VALUE!</v>
      </c>
      <c r="S48" s="298" t="e">
        <f>'[3]BP MAI     '!F102</f>
        <v>#VALUE!</v>
      </c>
      <c r="T48" s="309" t="e">
        <f>'[3]BP  JUIN '!C102</f>
        <v>#VALUE!</v>
      </c>
      <c r="U48" s="298" t="e">
        <f t="shared" si="19"/>
        <v>#VALUE!</v>
      </c>
      <c r="V48" s="302" t="e">
        <f>+T48+'[3]BP JUILLET '!C102</f>
        <v>#VALUE!</v>
      </c>
      <c r="W48" s="303" t="e">
        <f>ROUND(V48*$D$48/100,2)</f>
        <v>#VALUE!</v>
      </c>
      <c r="X48" s="309" t="e">
        <f>V48+'[3]BP AOUT '!C101</f>
        <v>#VALUE!</v>
      </c>
      <c r="Y48" s="303" t="e">
        <f>ROUND(X48*$D$48/100,2)</f>
        <v>#VALUE!</v>
      </c>
      <c r="Z48" s="309" t="e">
        <f>X48+'[3]BP SEPTEMBRE '!C101</f>
        <v>#VALUE!</v>
      </c>
      <c r="AA48" s="303" t="e">
        <f>ROUND(Z48*$D$48/100,2)</f>
        <v>#VALUE!</v>
      </c>
      <c r="AB48" s="309" t="e">
        <f>Z48+'[3]BP OCTOBRE '!C101</f>
        <v>#VALUE!</v>
      </c>
      <c r="AC48" s="303" t="e">
        <f>ROUND(AB48*$D$48/100,2)</f>
        <v>#VALUE!</v>
      </c>
      <c r="AD48" s="309" t="e">
        <f>AB48+'[3]BP NOVEMBRE '!C101</f>
        <v>#VALUE!</v>
      </c>
      <c r="AE48" s="303" t="e">
        <f>ROUND(AD48*$D$48/100,2)</f>
        <v>#VALUE!</v>
      </c>
      <c r="AF48" s="309" t="e">
        <f>AD48+'[3]BP DECEMBRE '!C101</f>
        <v>#VALUE!</v>
      </c>
      <c r="AG48" s="303" t="e">
        <f>ROUND(AF48*$D$48/100,2)</f>
        <v>#VALUE!</v>
      </c>
    </row>
    <row r="49" spans="1:33" s="115" customFormat="1" ht="20.25" customHeight="1" x14ac:dyDescent="0.25">
      <c r="A49" s="291"/>
      <c r="B49" s="722" t="s">
        <v>530</v>
      </c>
      <c r="C49" s="722"/>
      <c r="D49" s="311"/>
      <c r="F49" s="312">
        <f>SUM(F40:F48)</f>
        <v>368.97</v>
      </c>
      <c r="H49" s="313"/>
      <c r="I49" s="313"/>
      <c r="J49" s="313"/>
      <c r="L49" s="314"/>
      <c r="M49" s="315">
        <f>SUM(M40:M48)</f>
        <v>0</v>
      </c>
      <c r="N49" s="315"/>
      <c r="O49" s="315" t="e">
        <f>SUM(O40:O48)</f>
        <v>#VALUE!</v>
      </c>
      <c r="P49" s="315"/>
      <c r="Q49" s="315" t="e">
        <f>SUM(Q40:Q48)</f>
        <v>#VALUE!</v>
      </c>
      <c r="R49" s="315"/>
      <c r="S49" s="315" t="e">
        <f>SUM(S40:S48)</f>
        <v>#VALUE!</v>
      </c>
      <c r="T49" s="315"/>
      <c r="U49" s="315" t="e">
        <f>SUM(U40:U48)</f>
        <v>#VALUE!</v>
      </c>
      <c r="V49" s="315"/>
      <c r="W49" s="315" t="e">
        <f>SUM(W40:W48)</f>
        <v>#VALUE!</v>
      </c>
      <c r="X49" s="315"/>
      <c r="Y49" s="315" t="e">
        <f>SUM(Y40:Y48)</f>
        <v>#VALUE!</v>
      </c>
      <c r="Z49" s="315"/>
      <c r="AA49" s="315" t="e">
        <f>SUM(AA40:AA48)</f>
        <v>#VALUE!</v>
      </c>
      <c r="AB49" s="315"/>
      <c r="AC49" s="315" t="e">
        <f>SUM(AC40:AC48)</f>
        <v>#VALUE!</v>
      </c>
      <c r="AD49" s="315"/>
      <c r="AE49" s="315" t="e">
        <f>SUM(AE40:AE48)</f>
        <v>#VALUE!</v>
      </c>
      <c r="AF49" s="315"/>
      <c r="AG49" s="315" t="e">
        <f>SUM(AG40:AG48)</f>
        <v>#VALUE!</v>
      </c>
    </row>
    <row r="50" spans="1:33" ht="20.25" customHeight="1" x14ac:dyDescent="0.3">
      <c r="A50" s="291"/>
      <c r="B50" s="711" t="s">
        <v>531</v>
      </c>
      <c r="C50" s="711"/>
      <c r="D50" s="316"/>
      <c r="E50" s="317"/>
      <c r="F50" s="318">
        <f>ROUND(IF(F49/E41&gt;0.1131,0.1131,F49/E41),4)</f>
        <v>0.11310000000000001</v>
      </c>
      <c r="G50" s="319"/>
      <c r="H50" s="319"/>
      <c r="I50" s="319"/>
      <c r="J50" s="319"/>
      <c r="L50" s="320"/>
      <c r="M50" s="320"/>
      <c r="N50" s="320"/>
      <c r="P50" s="319"/>
      <c r="R50" s="319"/>
    </row>
    <row r="51" spans="1:33" ht="20.25" customHeight="1" x14ac:dyDescent="0.3">
      <c r="B51" s="5"/>
      <c r="C51" s="5"/>
      <c r="E51" s="319"/>
      <c r="F51" s="319"/>
      <c r="G51" s="319"/>
      <c r="H51" s="319"/>
      <c r="I51" s="319"/>
      <c r="J51" s="319"/>
      <c r="L51" s="320"/>
      <c r="M51" s="320"/>
      <c r="N51" s="320"/>
      <c r="P51" s="319"/>
      <c r="R51" s="319"/>
    </row>
    <row r="52" spans="1:33" ht="20.25" customHeight="1" x14ac:dyDescent="0.3">
      <c r="T52" s="319"/>
    </row>
    <row r="53" spans="1:33" ht="20.25" customHeight="1" x14ac:dyDescent="0.3">
      <c r="B53" s="132"/>
      <c r="C53" s="132"/>
      <c r="D53" s="132"/>
      <c r="E53" s="132"/>
      <c r="F53" s="132"/>
      <c r="G53" s="132"/>
      <c r="H53" s="132"/>
      <c r="I53" s="132"/>
      <c r="J53" s="132"/>
      <c r="K53" s="132"/>
    </row>
    <row r="54" spans="1:33" ht="27.75" customHeight="1" x14ac:dyDescent="0.3">
      <c r="A54" s="321" t="s">
        <v>532</v>
      </c>
      <c r="B54" s="719" t="s">
        <v>533</v>
      </c>
      <c r="C54" s="719"/>
      <c r="D54" s="719"/>
      <c r="E54" s="719"/>
      <c r="F54" s="719"/>
      <c r="G54" s="719"/>
      <c r="H54" s="719"/>
      <c r="I54" s="719"/>
      <c r="J54" s="719"/>
      <c r="K54" s="719"/>
      <c r="O54" s="323"/>
      <c r="P54" s="323"/>
      <c r="Q54" s="323"/>
      <c r="R54" s="323"/>
      <c r="S54" s="323"/>
      <c r="T54" s="323"/>
    </row>
    <row r="55" spans="1:33" ht="20.25" customHeight="1" x14ac:dyDescent="0.3">
      <c r="A55" s="129" t="s">
        <v>534</v>
      </c>
      <c r="B55" s="129" t="s">
        <v>485</v>
      </c>
      <c r="C55" s="129" t="s">
        <v>237</v>
      </c>
      <c r="D55" s="129" t="s">
        <v>486</v>
      </c>
      <c r="E55" s="129" t="s">
        <v>487</v>
      </c>
      <c r="F55" s="129" t="s">
        <v>535</v>
      </c>
      <c r="G55" s="129" t="s">
        <v>536</v>
      </c>
      <c r="H55" s="4"/>
      <c r="K55" s="324"/>
    </row>
    <row r="56" spans="1:33" s="330" customFormat="1" ht="48.75" customHeight="1" x14ac:dyDescent="0.2">
      <c r="A56" s="325" t="s">
        <v>537</v>
      </c>
      <c r="B56" s="326" t="s">
        <v>538</v>
      </c>
      <c r="C56" s="326" t="s">
        <v>539</v>
      </c>
      <c r="D56" s="326" t="s">
        <v>527</v>
      </c>
      <c r="E56" s="326" t="s">
        <v>540</v>
      </c>
      <c r="F56" s="327" t="s">
        <v>541</v>
      </c>
      <c r="G56" s="327" t="s">
        <v>542</v>
      </c>
      <c r="H56" s="328">
        <v>56</v>
      </c>
      <c r="I56" s="329"/>
      <c r="J56" s="329"/>
      <c r="N56" s="329"/>
      <c r="O56" s="329"/>
      <c r="P56" s="329"/>
      <c r="Q56" s="329"/>
      <c r="R56" s="329"/>
      <c r="S56" s="329"/>
      <c r="T56" s="329"/>
    </row>
    <row r="57" spans="1:33" s="330" customFormat="1" ht="33" customHeight="1" x14ac:dyDescent="0.2">
      <c r="A57" s="331"/>
      <c r="B57" s="332">
        <f>'BP FORMAT JUILLET 2023'!J21+'BP FORMAT JUILLET 2023'!J22+'BP FORMAT JUILLET 2023'!J20+'BP FORMAT JUILLET 2023'!J18+'BP FORMAT JUILLET 2023'!J19</f>
        <v>0</v>
      </c>
      <c r="C57" s="333">
        <f>A57+B57</f>
        <v>0</v>
      </c>
      <c r="D57" s="334">
        <f>ROUND(IF(F49/E41&gt;0.1131,0.1131,F49/E41),4)</f>
        <v>0.11310000000000001</v>
      </c>
      <c r="E57" s="335">
        <f>IF(A57&gt;8037,0,IF(C57&gt;8037,8037-A57,B57))</f>
        <v>0</v>
      </c>
      <c r="F57" s="335">
        <f>ROUND(E57*D57,2)</f>
        <v>0</v>
      </c>
      <c r="G57" s="336">
        <f>IF(C57&gt;8037,B57-E57,0)</f>
        <v>0</v>
      </c>
      <c r="H57" s="328">
        <v>57</v>
      </c>
      <c r="I57" s="337"/>
      <c r="J57" s="337"/>
      <c r="N57" s="329"/>
      <c r="O57" s="329"/>
      <c r="P57" s="329"/>
      <c r="Q57" s="329"/>
      <c r="R57" s="329"/>
      <c r="S57" s="329"/>
      <c r="T57" s="329"/>
    </row>
    <row r="58" spans="1:33" ht="22.5" hidden="1" customHeight="1" x14ac:dyDescent="0.3">
      <c r="A58" s="338"/>
      <c r="B58" s="333"/>
      <c r="C58" s="333"/>
      <c r="D58" s="338"/>
      <c r="E58" s="339"/>
      <c r="F58" s="333"/>
      <c r="G58" s="340"/>
      <c r="H58" s="340"/>
      <c r="I58" s="340"/>
      <c r="J58" s="340"/>
      <c r="L58" s="308"/>
      <c r="M58" s="341"/>
      <c r="N58" s="342"/>
      <c r="O58" s="329"/>
      <c r="P58" s="329"/>
      <c r="Q58" s="329"/>
      <c r="R58" s="308"/>
      <c r="S58" s="308"/>
      <c r="T58" s="308"/>
    </row>
    <row r="59" spans="1:33" ht="22.5" hidden="1" customHeight="1" x14ac:dyDescent="0.3">
      <c r="A59" s="328" t="s">
        <v>543</v>
      </c>
      <c r="B59" s="343">
        <f>+'[3]BP FEVRIER    '!J59+'[3]BP FEVRIER    '!J60+'[3]BP FEVRIER    '!J61+'[3]BP FEVRIER    '!J62+'[3]BP FEVRIER    '!J63</f>
        <v>0</v>
      </c>
      <c r="C59" s="328">
        <f>B59+B57</f>
        <v>0</v>
      </c>
      <c r="D59" s="344" t="e">
        <f>IF(M49/B25&gt;0.1131,0.1131,M49/B25)</f>
        <v>#DIV/0!</v>
      </c>
      <c r="E59" s="345" t="e">
        <f>IF(C59&lt;5358,B59*D59,IF(C57&gt;5358,0,(5358-C57)*D59))</f>
        <v>#DIV/0!</v>
      </c>
      <c r="F59" s="345"/>
      <c r="G59" s="346"/>
      <c r="H59" s="346"/>
      <c r="I59" s="346"/>
      <c r="J59" s="346"/>
      <c r="K59" s="347">
        <f>IF(C59&lt;5358,B59,IF(C57&gt;5358,0,5358-C57))</f>
        <v>0</v>
      </c>
      <c r="L59" s="308"/>
      <c r="M59" s="341"/>
      <c r="N59" s="342"/>
      <c r="O59" s="329"/>
      <c r="P59" s="329"/>
      <c r="Q59" s="329"/>
      <c r="R59" s="308"/>
      <c r="S59" s="308"/>
      <c r="T59" s="308"/>
    </row>
    <row r="60" spans="1:33" ht="22.5" hidden="1" customHeight="1" x14ac:dyDescent="0.3">
      <c r="A60" s="328" t="s">
        <v>544</v>
      </c>
      <c r="B60" s="343" t="e">
        <f>+L91</f>
        <v>#VALUE!</v>
      </c>
      <c r="C60" s="343" t="e">
        <f>C59+B60</f>
        <v>#VALUE!</v>
      </c>
      <c r="D60" s="344" t="e">
        <f>IF(O49/B26&lt;0.1131,O49/B26,0.1131)</f>
        <v>#VALUE!</v>
      </c>
      <c r="E60" s="345" t="e">
        <f t="shared" ref="E60:E69" si="20">IF(C60&lt;5358,B60*D60,IF(C59&gt;5358,0,(5358-C59)*D60))</f>
        <v>#VALUE!</v>
      </c>
      <c r="F60" s="345"/>
      <c r="G60" s="345"/>
      <c r="H60" s="345"/>
      <c r="I60" s="345"/>
      <c r="J60" s="345"/>
      <c r="K60" s="347" t="e">
        <f t="shared" ref="K60:K69" si="21">IF(C60&lt;5358,B60,IF(C59&gt;5358,0,5358-C59))</f>
        <v>#VALUE!</v>
      </c>
      <c r="L60" s="308"/>
      <c r="M60" s="341"/>
      <c r="N60" s="342"/>
      <c r="O60" s="348"/>
      <c r="P60" s="348"/>
      <c r="Q60" s="348"/>
      <c r="R60" s="348"/>
      <c r="S60" s="348"/>
      <c r="T60" s="348"/>
    </row>
    <row r="61" spans="1:33" ht="22.5" hidden="1" customHeight="1" x14ac:dyDescent="0.3">
      <c r="A61" s="328" t="s">
        <v>545</v>
      </c>
      <c r="B61" s="343" t="e">
        <f>+M91</f>
        <v>#VALUE!</v>
      </c>
      <c r="C61" s="343" t="e">
        <f>C60+B61</f>
        <v>#VALUE!</v>
      </c>
      <c r="D61" s="344" t="e">
        <f>IF(Q49/B27&lt;0.1131,Q49/B27,0.1131)</f>
        <v>#VALUE!</v>
      </c>
      <c r="E61" s="345" t="e">
        <f t="shared" si="20"/>
        <v>#VALUE!</v>
      </c>
      <c r="F61" s="345"/>
      <c r="G61" s="345"/>
      <c r="H61" s="345"/>
      <c r="I61" s="345"/>
      <c r="J61" s="345"/>
      <c r="K61" s="347" t="e">
        <f t="shared" si="21"/>
        <v>#VALUE!</v>
      </c>
      <c r="L61" s="308"/>
      <c r="M61" s="341"/>
      <c r="N61" s="342"/>
      <c r="O61" s="348"/>
      <c r="P61" s="348"/>
      <c r="Q61" s="348"/>
      <c r="R61" s="348"/>
      <c r="S61" s="348"/>
      <c r="T61" s="348"/>
      <c r="U61" s="124"/>
    </row>
    <row r="62" spans="1:33" ht="22.5" hidden="1" customHeight="1" x14ac:dyDescent="0.3">
      <c r="A62" s="328" t="s">
        <v>546</v>
      </c>
      <c r="B62" s="343" t="e">
        <f>+N91</f>
        <v>#VALUE!</v>
      </c>
      <c r="C62" s="343" t="e">
        <f>C61+B62</f>
        <v>#VALUE!</v>
      </c>
      <c r="D62" s="344" t="e">
        <f>IF(S49/B28&lt;0.1131,S49/B28,0.1131)</f>
        <v>#VALUE!</v>
      </c>
      <c r="E62" s="345" t="e">
        <f t="shared" si="20"/>
        <v>#VALUE!</v>
      </c>
      <c r="F62" s="345"/>
      <c r="G62" s="345"/>
      <c r="H62" s="345"/>
      <c r="I62" s="345"/>
      <c r="J62" s="345"/>
      <c r="K62" s="347" t="e">
        <f t="shared" si="21"/>
        <v>#VALUE!</v>
      </c>
      <c r="L62" s="308"/>
      <c r="M62" s="341"/>
      <c r="N62" s="342"/>
      <c r="O62" s="348"/>
      <c r="P62" s="348"/>
      <c r="Q62" s="348"/>
      <c r="R62" s="348"/>
      <c r="S62" s="348"/>
      <c r="T62" s="348"/>
      <c r="U62" s="124"/>
    </row>
    <row r="63" spans="1:33" ht="22.5" hidden="1" customHeight="1" x14ac:dyDescent="0.3">
      <c r="A63" s="328" t="s">
        <v>547</v>
      </c>
      <c r="B63" s="343" t="e">
        <f>+O91</f>
        <v>#VALUE!</v>
      </c>
      <c r="C63" s="343" t="e">
        <f>C62+B63</f>
        <v>#VALUE!</v>
      </c>
      <c r="D63" s="344" t="e">
        <f>IF(U49/B29&lt;0.1131,U49/B29,0.1131)</f>
        <v>#VALUE!</v>
      </c>
      <c r="E63" s="345" t="e">
        <f t="shared" si="20"/>
        <v>#VALUE!</v>
      </c>
      <c r="F63" s="345"/>
      <c r="G63" s="345"/>
      <c r="H63" s="345"/>
      <c r="I63" s="345"/>
      <c r="J63" s="345"/>
      <c r="K63" s="347" t="e">
        <f t="shared" si="21"/>
        <v>#VALUE!</v>
      </c>
      <c r="L63" s="308"/>
      <c r="M63" s="341"/>
      <c r="N63" s="342"/>
      <c r="O63" s="348"/>
      <c r="P63" s="348"/>
      <c r="Q63" s="348"/>
      <c r="R63" s="348"/>
      <c r="S63" s="348"/>
      <c r="T63" s="348"/>
      <c r="U63" s="124"/>
    </row>
    <row r="64" spans="1:33" ht="22.5" hidden="1" customHeight="1" x14ac:dyDescent="0.3">
      <c r="A64" s="328" t="s">
        <v>548</v>
      </c>
      <c r="B64" s="349" t="e">
        <f>'[3]BP JUILLET '!J59+'[3]BP JUILLET '!J60+'[3]BP JUILLET '!J61+'[3]BP JUILLET '!J62+'[3]BP JUILLET '!J63</f>
        <v>#VALUE!</v>
      </c>
      <c r="C64" s="349" t="e">
        <f t="shared" ref="C64:C69" si="22">+B64+C63</f>
        <v>#VALUE!</v>
      </c>
      <c r="D64" s="350" t="e">
        <f>+IF(W49/B30&gt;0.1131,0.1131,W49/B30)</f>
        <v>#VALUE!</v>
      </c>
      <c r="E64" s="345" t="e">
        <f t="shared" si="20"/>
        <v>#VALUE!</v>
      </c>
      <c r="F64" s="345"/>
      <c r="G64" s="345"/>
      <c r="H64" s="345"/>
      <c r="I64" s="345"/>
      <c r="J64" s="345"/>
      <c r="K64" s="347" t="e">
        <f t="shared" si="21"/>
        <v>#VALUE!</v>
      </c>
      <c r="L64" s="308"/>
      <c r="M64" s="341"/>
      <c r="N64" s="342"/>
      <c r="O64" s="348"/>
      <c r="P64" s="348"/>
      <c r="Q64" s="348"/>
      <c r="R64" s="348"/>
      <c r="S64" s="348"/>
      <c r="T64" s="348"/>
    </row>
    <row r="65" spans="1:20" ht="22.5" hidden="1" customHeight="1" x14ac:dyDescent="0.3">
      <c r="A65" s="328" t="s">
        <v>549</v>
      </c>
      <c r="B65" s="349" t="e">
        <f>Q91</f>
        <v>#VALUE!</v>
      </c>
      <c r="C65" s="349" t="e">
        <f t="shared" si="22"/>
        <v>#VALUE!</v>
      </c>
      <c r="D65" s="350" t="e">
        <f>+IF(Y49/B31&gt;0.1131,0.1131,Y49/B31)</f>
        <v>#VALUE!</v>
      </c>
      <c r="E65" s="345" t="e">
        <f t="shared" si="20"/>
        <v>#VALUE!</v>
      </c>
      <c r="F65" s="345"/>
      <c r="G65" s="345"/>
      <c r="H65" s="345"/>
      <c r="I65" s="345"/>
      <c r="J65" s="345"/>
      <c r="K65" s="347" t="e">
        <f t="shared" si="21"/>
        <v>#VALUE!</v>
      </c>
      <c r="L65" s="308"/>
      <c r="M65" s="341"/>
      <c r="N65" s="342"/>
      <c r="O65" s="348"/>
      <c r="P65" s="348"/>
      <c r="Q65" s="348"/>
      <c r="R65" s="348"/>
      <c r="S65" s="348"/>
      <c r="T65" s="348"/>
    </row>
    <row r="66" spans="1:20" ht="22.5" hidden="1" customHeight="1" x14ac:dyDescent="0.3">
      <c r="A66" s="328" t="s">
        <v>550</v>
      </c>
      <c r="B66" s="349" t="e">
        <f>R91</f>
        <v>#VALUE!</v>
      </c>
      <c r="C66" s="349" t="e">
        <f t="shared" si="22"/>
        <v>#VALUE!</v>
      </c>
      <c r="D66" s="350" t="e">
        <f>+IF(AA49/B32&gt;0.1131,0.1131,AA49/E11)</f>
        <v>#VALUE!</v>
      </c>
      <c r="E66" s="345" t="e">
        <f t="shared" si="20"/>
        <v>#VALUE!</v>
      </c>
      <c r="F66" s="345"/>
      <c r="G66" s="345"/>
      <c r="H66" s="345"/>
      <c r="I66" s="345"/>
      <c r="J66" s="345"/>
      <c r="K66" s="347" t="e">
        <f t="shared" si="21"/>
        <v>#VALUE!</v>
      </c>
      <c r="L66" s="308"/>
      <c r="M66" s="341"/>
      <c r="N66" s="342"/>
      <c r="O66" s="348"/>
      <c r="P66" s="348"/>
      <c r="Q66" s="348"/>
      <c r="R66" s="348"/>
      <c r="S66" s="348"/>
      <c r="T66" s="348"/>
    </row>
    <row r="67" spans="1:20" ht="22.5" hidden="1" customHeight="1" x14ac:dyDescent="0.3">
      <c r="A67" s="328" t="s">
        <v>551</v>
      </c>
      <c r="B67" s="349" t="e">
        <f>S91</f>
        <v>#VALUE!</v>
      </c>
      <c r="C67" s="349" t="e">
        <f t="shared" si="22"/>
        <v>#VALUE!</v>
      </c>
      <c r="D67" s="350" t="e">
        <f>+IF(AC49/B33&gt;0.1131,0.1131,AC49/EG2)</f>
        <v>#VALUE!</v>
      </c>
      <c r="E67" s="345" t="e">
        <f t="shared" si="20"/>
        <v>#VALUE!</v>
      </c>
      <c r="F67" s="345"/>
      <c r="G67" s="345"/>
      <c r="H67" s="345"/>
      <c r="I67" s="345"/>
      <c r="J67" s="345"/>
      <c r="K67" s="347" t="e">
        <f t="shared" si="21"/>
        <v>#VALUE!</v>
      </c>
      <c r="L67" s="308"/>
      <c r="M67" s="341"/>
      <c r="N67" s="342"/>
      <c r="O67" s="348"/>
      <c r="P67" s="348"/>
      <c r="Q67" s="348"/>
      <c r="R67" s="348"/>
      <c r="S67" s="348"/>
      <c r="T67" s="348"/>
    </row>
    <row r="68" spans="1:20" ht="22.5" hidden="1" customHeight="1" x14ac:dyDescent="0.3">
      <c r="A68" s="328" t="s">
        <v>552</v>
      </c>
      <c r="B68" s="349" t="e">
        <f>T91</f>
        <v>#VALUE!</v>
      </c>
      <c r="C68" s="349" t="e">
        <f t="shared" si="22"/>
        <v>#VALUE!</v>
      </c>
      <c r="D68" s="350" t="e">
        <f>+IF(AE49/B34&gt;0.1131,0.1131,AE49/B34)</f>
        <v>#VALUE!</v>
      </c>
      <c r="E68" s="345" t="e">
        <f t="shared" si="20"/>
        <v>#VALUE!</v>
      </c>
      <c r="F68" s="345"/>
      <c r="G68" s="345"/>
      <c r="H68" s="345"/>
      <c r="I68" s="345"/>
      <c r="J68" s="345"/>
      <c r="K68" s="347" t="e">
        <f t="shared" si="21"/>
        <v>#VALUE!</v>
      </c>
      <c r="L68" s="308"/>
      <c r="M68" s="341"/>
      <c r="N68" s="342"/>
      <c r="O68" s="348"/>
      <c r="P68" s="348"/>
      <c r="Q68" s="348"/>
      <c r="R68" s="348"/>
      <c r="S68" s="348"/>
      <c r="T68" s="348"/>
    </row>
    <row r="69" spans="1:20" ht="22.5" hidden="1" customHeight="1" x14ac:dyDescent="0.3">
      <c r="A69" s="328" t="s">
        <v>553</v>
      </c>
      <c r="B69" s="349" t="e">
        <f>U91</f>
        <v>#VALUE!</v>
      </c>
      <c r="C69" s="349" t="e">
        <f t="shared" si="22"/>
        <v>#VALUE!</v>
      </c>
      <c r="D69" s="350" t="e">
        <f>+IF(AG49/B35&gt;0.1131,0.1131,AG49/B35)</f>
        <v>#VALUE!</v>
      </c>
      <c r="E69" s="345" t="e">
        <f t="shared" si="20"/>
        <v>#VALUE!</v>
      </c>
      <c r="F69" s="345"/>
      <c r="G69" s="345"/>
      <c r="H69" s="345"/>
      <c r="I69" s="345"/>
      <c r="J69" s="345"/>
      <c r="K69" s="347" t="e">
        <f t="shared" si="21"/>
        <v>#VALUE!</v>
      </c>
      <c r="L69" s="308"/>
      <c r="M69" s="341"/>
      <c r="N69" s="342"/>
      <c r="O69" s="348"/>
      <c r="P69" s="348"/>
      <c r="Q69" s="348"/>
      <c r="R69" s="348"/>
      <c r="S69" s="348"/>
      <c r="T69" s="348"/>
    </row>
    <row r="70" spans="1:20" ht="22.5" hidden="1" customHeight="1" x14ac:dyDescent="0.3">
      <c r="A70" s="4"/>
      <c r="B70" s="124"/>
      <c r="C70" s="124"/>
      <c r="D70" s="351" t="e">
        <f>+IF(AE52/E15&gt;0.1131,0.1131,AE52/E15)</f>
        <v>#DIV/0!</v>
      </c>
      <c r="M70" s="352" t="e">
        <f t="shared" ref="M70:M80" si="23">+K70-K69</f>
        <v>#VALUE!</v>
      </c>
      <c r="Q70" s="353"/>
      <c r="R70" s="354">
        <f t="shared" ref="R70:R80" si="24">IF(C70&lt;5358,C70*0.9825,5358*0.9825)</f>
        <v>0</v>
      </c>
    </row>
    <row r="71" spans="1:20" ht="22.5" hidden="1" customHeight="1" x14ac:dyDescent="0.3">
      <c r="A71" s="4"/>
      <c r="B71" s="124"/>
      <c r="C71" s="124"/>
      <c r="D71" s="129" t="e">
        <f>+IF(AE53/E16&gt;0.1131,0.1131,AE53/E16)</f>
        <v>#DIV/0!</v>
      </c>
      <c r="M71" s="355">
        <f t="shared" si="23"/>
        <v>0</v>
      </c>
      <c r="Q71" s="356"/>
      <c r="R71" s="354">
        <f t="shared" si="24"/>
        <v>0</v>
      </c>
    </row>
    <row r="72" spans="1:20" ht="22.5" hidden="1" customHeight="1" x14ac:dyDescent="0.3">
      <c r="A72" s="132"/>
      <c r="B72" s="124"/>
      <c r="C72" s="124"/>
      <c r="D72" s="129" t="e">
        <f>+IF(AE54/E17&gt;0.1131,0.1131,AE54/E17)</f>
        <v>#DIV/0!</v>
      </c>
      <c r="M72" s="355">
        <f t="shared" si="23"/>
        <v>0</v>
      </c>
      <c r="Q72" s="357"/>
      <c r="R72" s="354">
        <f t="shared" si="24"/>
        <v>0</v>
      </c>
    </row>
    <row r="73" spans="1:20" ht="22.5" hidden="1" customHeight="1" x14ac:dyDescent="0.3">
      <c r="A73" s="132"/>
      <c r="B73" s="124"/>
      <c r="C73" s="124"/>
      <c r="D73" s="129" t="e">
        <f>+IF(AE55/E18&gt;0.1131,0.1131,AE55/E18)</f>
        <v>#DIV/0!</v>
      </c>
      <c r="M73" s="355">
        <f t="shared" si="23"/>
        <v>0</v>
      </c>
      <c r="Q73" s="357"/>
      <c r="R73" s="354">
        <f t="shared" si="24"/>
        <v>0</v>
      </c>
    </row>
    <row r="74" spans="1:20" ht="22.5" hidden="1" customHeight="1" x14ac:dyDescent="0.3">
      <c r="A74" s="132"/>
      <c r="B74" s="124"/>
      <c r="C74" s="124"/>
      <c r="D74" s="129" t="e">
        <f>+IF(AE56/E19&gt;0.1131,0.1131,AE56/E19)</f>
        <v>#DIV/0!</v>
      </c>
      <c r="M74" s="355">
        <f t="shared" si="23"/>
        <v>0</v>
      </c>
      <c r="Q74" s="357"/>
      <c r="R74" s="354">
        <f t="shared" si="24"/>
        <v>0</v>
      </c>
    </row>
    <row r="75" spans="1:20" ht="22.5" hidden="1" customHeight="1" x14ac:dyDescent="0.3">
      <c r="A75" s="132"/>
      <c r="B75" s="124"/>
      <c r="C75" s="124"/>
      <c r="D75" s="129" t="e">
        <f t="shared" ref="D75:D80" si="25">+IF(AE58/E21&gt;0.1131,0.1131,AE58/E21)</f>
        <v>#DIV/0!</v>
      </c>
      <c r="M75" s="355">
        <f t="shared" si="23"/>
        <v>0</v>
      </c>
      <c r="Q75" s="357"/>
      <c r="R75" s="354">
        <f t="shared" si="24"/>
        <v>0</v>
      </c>
    </row>
    <row r="76" spans="1:20" ht="22.5" hidden="1" customHeight="1" x14ac:dyDescent="0.3">
      <c r="A76" s="132"/>
      <c r="B76" s="124"/>
      <c r="C76" s="124"/>
      <c r="D76" s="129" t="e">
        <f t="shared" si="25"/>
        <v>#VALUE!</v>
      </c>
      <c r="M76" s="355">
        <f t="shared" si="23"/>
        <v>0</v>
      </c>
      <c r="Q76" s="357"/>
      <c r="R76" s="354">
        <f t="shared" si="24"/>
        <v>0</v>
      </c>
    </row>
    <row r="77" spans="1:20" ht="22.5" hidden="1" customHeight="1" x14ac:dyDescent="0.3">
      <c r="A77" s="132"/>
      <c r="B77" s="124"/>
      <c r="C77" s="124"/>
      <c r="D77" s="129" t="e">
        <f t="shared" si="25"/>
        <v>#VALUE!</v>
      </c>
      <c r="M77" s="355">
        <f t="shared" si="23"/>
        <v>0</v>
      </c>
      <c r="Q77" s="357"/>
      <c r="R77" s="354">
        <f t="shared" si="24"/>
        <v>0</v>
      </c>
    </row>
    <row r="78" spans="1:20" ht="22.5" hidden="1" customHeight="1" x14ac:dyDescent="0.3">
      <c r="A78" s="132"/>
      <c r="B78" s="124"/>
      <c r="C78" s="124"/>
      <c r="D78" s="129">
        <f t="shared" si="25"/>
        <v>0</v>
      </c>
      <c r="M78" s="355">
        <f t="shared" si="23"/>
        <v>0</v>
      </c>
      <c r="Q78" s="357"/>
      <c r="R78" s="354">
        <f t="shared" si="24"/>
        <v>0</v>
      </c>
    </row>
    <row r="79" spans="1:20" ht="22.5" hidden="1" customHeight="1" x14ac:dyDescent="0.3">
      <c r="A79" s="132"/>
      <c r="B79" s="124"/>
      <c r="C79" s="124"/>
      <c r="D79" s="129">
        <f t="shared" si="25"/>
        <v>0</v>
      </c>
      <c r="M79" s="355">
        <f t="shared" si="23"/>
        <v>0</v>
      </c>
      <c r="Q79" s="357"/>
      <c r="R79" s="354">
        <f t="shared" si="24"/>
        <v>0</v>
      </c>
    </row>
    <row r="80" spans="1:20" ht="22.5" hidden="1" customHeight="1" x14ac:dyDescent="0.3">
      <c r="A80" s="132"/>
      <c r="D80" s="129" t="e">
        <f t="shared" si="25"/>
        <v>#VALUE!</v>
      </c>
      <c r="M80" s="355">
        <f t="shared" si="23"/>
        <v>0</v>
      </c>
      <c r="R80" s="354">
        <f t="shared" si="24"/>
        <v>0</v>
      </c>
    </row>
    <row r="81" spans="1:21" ht="20.25" customHeight="1" x14ac:dyDescent="0.3">
      <c r="A81" s="132"/>
      <c r="M81" s="358"/>
      <c r="R81" s="359"/>
    </row>
    <row r="82" spans="1:21" ht="20.25" customHeight="1" x14ac:dyDescent="0.3">
      <c r="A82" s="132"/>
      <c r="M82" s="358"/>
      <c r="R82" s="359"/>
    </row>
    <row r="83" spans="1:21" ht="20.25" customHeight="1" x14ac:dyDescent="0.3">
      <c r="A83" s="132"/>
      <c r="E83" s="360"/>
    </row>
    <row r="84" spans="1:21" ht="27" customHeight="1" x14ac:dyDescent="0.3">
      <c r="A84" s="361" t="s">
        <v>534</v>
      </c>
      <c r="B84" s="361" t="s">
        <v>485</v>
      </c>
      <c r="C84" s="361" t="s">
        <v>237</v>
      </c>
      <c r="D84" s="361" t="s">
        <v>486</v>
      </c>
      <c r="E84" s="361" t="s">
        <v>487</v>
      </c>
      <c r="F84" s="361" t="s">
        <v>535</v>
      </c>
      <c r="G84" s="323"/>
      <c r="H84" s="323"/>
      <c r="I84" s="323"/>
      <c r="J84" s="323"/>
      <c r="K84" s="323"/>
      <c r="L84" s="362" t="s">
        <v>544</v>
      </c>
      <c r="M84" s="363" t="s">
        <v>545</v>
      </c>
      <c r="N84" s="363" t="s">
        <v>554</v>
      </c>
      <c r="O84" s="363" t="s">
        <v>547</v>
      </c>
      <c r="P84" s="363" t="s">
        <v>555</v>
      </c>
      <c r="Q84" s="363" t="s">
        <v>549</v>
      </c>
      <c r="R84" s="363" t="s">
        <v>550</v>
      </c>
      <c r="S84" s="363" t="s">
        <v>551</v>
      </c>
      <c r="T84" s="363" t="s">
        <v>552</v>
      </c>
      <c r="U84" s="363" t="s">
        <v>553</v>
      </c>
    </row>
    <row r="85" spans="1:21" ht="20.25" customHeight="1" x14ac:dyDescent="0.3">
      <c r="A85" s="718" t="s">
        <v>556</v>
      </c>
      <c r="B85" s="718"/>
      <c r="C85" s="718"/>
      <c r="D85" s="718"/>
      <c r="E85" s="234">
        <f>'BP FORMAT JUILLET 2023'!J33-'BP FORMAT JUILLET 2023'!J22-'BP FORMAT JUILLET 2023'!J21-'BP FORMAT JUILLET 2023'!J20-'BP FORMAT JUILLET 2023'!J19-'BP FORMAT JUILLET 2023'!J18-'BP FORMAT JUILLET 2023'!J14-'BP FORMAT JUILLET 2023'!J17</f>
        <v>3262.3</v>
      </c>
      <c r="F85" s="364">
        <v>85</v>
      </c>
      <c r="G85" s="365"/>
      <c r="H85" s="365"/>
      <c r="I85" s="365"/>
      <c r="J85" s="365"/>
      <c r="K85" s="365"/>
      <c r="L85" s="366" t="e">
        <f>'[3]BP MARS   '!J74-'[3]BP MARS   '!J59-'[3]BP MARS   '!J60-'[3]BP MARS   '!J61-'[3]BP MARS   '!J62-'[3]BP MARS   '!J63-'[3]HEURES SUPPLEMENTAIRES '!G83</f>
        <v>#VALUE!</v>
      </c>
      <c r="M85" s="367" t="e">
        <f>'[3]BP AVRIL    '!J74-M88-'[3]BP AVRIL    '!J59-'[3]BP AVRIL    '!J60-'[3]BP AVRIL    '!J61-'[3]BP AVRIL    '!J62-'[3]BP AVRIL    '!J63</f>
        <v>#VALUE!</v>
      </c>
      <c r="N85" s="367" t="e">
        <f>'[3]BP MAI     '!J74-'[3]BP MAI     '!J59-'[3]BP MAI     '!J60-'[3]BP MAI     '!J61-'[3]BP MAI     '!J62-'[3]BP MAI     '!J63-N88</f>
        <v>#VALUE!</v>
      </c>
      <c r="O85" s="349" t="e">
        <f>'[3]BP  JUIN '!J74-'[3]HEURES SUPPLEMENTAIRES '!J83-'[3]HEURES SUPPLEMENTAIRES '!J85</f>
        <v>#VALUE!</v>
      </c>
      <c r="P85" s="349" t="e">
        <f>'[3]BP JUILLET '!J74-'[3]BP JUILLET '!J59-'[3]BP JUILLET '!J60-'[3]BP JUILLET '!J61-'[3]BP JUILLET '!J62-'[3]BP JUILLET '!J63-'[3]BP JUILLET '!J55-'[3]BP JUILLET '!J56-'[3]BP JUILLET '!J57-'[3]BP JUILLET '!J58-'[3]BP JUILLET '!J17</f>
        <v>#VALUE!</v>
      </c>
      <c r="Q85" s="349" t="e">
        <f>'[3]BP AOUT '!J74-'[3]BP AOUT '!J63-'[3]BP AOUT '!J62-'[3]BP AOUT '!J61-'[3]BP AOUT '!J60-'[3]BP AOUT '!J59-'[3]HEURES SUPPLEMENTAIRES '!L83</f>
        <v>#VALUE!</v>
      </c>
      <c r="R85" s="349" t="e">
        <f>'[3]BP SEPTEMBRE '!J74-'[3]BP SEPTEMBRE '!J63-'[3]BP SEPTEMBRE '!J62-'[3]BP SEPTEMBRE '!J61-'[3]BP SEPTEMBRE '!J60-'[3]BP SEPTEMBRE '!J59-'[3]HEURES SUPPLEMENTAIRES '!M83</f>
        <v>#VALUE!</v>
      </c>
      <c r="S85" s="349" t="e">
        <f>'[3]BP OCTOBRE '!J74-'[3]BP OCTOBRE '!J63-'[3]BP OCTOBRE '!J62-'[3]BP OCTOBRE '!J61-'[3]BP OCTOBRE '!J60-'[3]BP OCTOBRE '!J59-'[3]HEURES SUPPLEMENTAIRES '!N83</f>
        <v>#VALUE!</v>
      </c>
      <c r="T85" s="349" t="e">
        <f>'[3]BP NOVEMBRE '!J74-'[3]BP NOVEMBRE '!J63-'[3]BP NOVEMBRE '!J62-'[3]BP NOVEMBRE '!J61-'[3]BP NOVEMBRE '!J60-'[3]BP NOVEMBRE '!J59-'[3]HEURES SUPPLEMENTAIRES '!O83</f>
        <v>#VALUE!</v>
      </c>
      <c r="U85" s="349" t="e">
        <f>'[3]BP DECEMBRE '!J74-'[3]BP DECEMBRE '!J63-'[3]BP DECEMBRE '!J62-'[3]BP DECEMBRE '!J61-'[3]BP DECEMBRE '!J60-'[3]BP DECEMBRE '!J59-'[3]HEURES SUPPLEMENTAIRES '!P83</f>
        <v>#VALUE!</v>
      </c>
    </row>
    <row r="86" spans="1:21" ht="20.25" customHeight="1" x14ac:dyDescent="0.3">
      <c r="A86" s="718" t="s">
        <v>557</v>
      </c>
      <c r="B86" s="718"/>
      <c r="C86" s="718"/>
      <c r="D86" s="718"/>
      <c r="E86" s="234">
        <f>G57</f>
        <v>0</v>
      </c>
      <c r="F86" s="364">
        <v>86</v>
      </c>
      <c r="G86" s="365"/>
      <c r="H86" s="365"/>
      <c r="I86" s="365"/>
      <c r="J86" s="365"/>
      <c r="K86" s="365"/>
      <c r="L86" s="366"/>
      <c r="M86" s="367"/>
      <c r="N86" s="367"/>
      <c r="O86" s="349"/>
      <c r="P86" s="349"/>
      <c r="Q86" s="349"/>
      <c r="R86" s="349"/>
      <c r="S86" s="349"/>
      <c r="T86" s="349"/>
      <c r="U86" s="349"/>
    </row>
    <row r="87" spans="1:21" ht="20.25" customHeight="1" x14ac:dyDescent="0.3">
      <c r="A87" s="720" t="s">
        <v>558</v>
      </c>
      <c r="B87" s="720"/>
      <c r="C87" s="720"/>
      <c r="D87" s="720"/>
      <c r="E87" s="234">
        <f>E85+E86</f>
        <v>3262.3</v>
      </c>
      <c r="F87" s="364">
        <v>87</v>
      </c>
      <c r="G87" s="365"/>
      <c r="H87" s="365"/>
      <c r="I87" s="365"/>
      <c r="J87" s="365"/>
      <c r="K87" s="365"/>
      <c r="L87" s="366"/>
      <c r="M87" s="367"/>
      <c r="N87" s="367"/>
      <c r="O87" s="349"/>
      <c r="P87" s="349"/>
      <c r="Q87" s="349"/>
      <c r="R87" s="349"/>
      <c r="S87" s="349"/>
      <c r="T87" s="349"/>
      <c r="U87" s="349"/>
    </row>
    <row r="88" spans="1:21" ht="20.25" customHeight="1" x14ac:dyDescent="0.3">
      <c r="A88" s="718" t="s">
        <v>365</v>
      </c>
      <c r="B88" s="718"/>
      <c r="C88" s="718"/>
      <c r="D88" s="718"/>
      <c r="E88" s="234">
        <f>+'BP FORMAT JUILLET 2023'!J17</f>
        <v>0</v>
      </c>
      <c r="F88" s="364">
        <v>88</v>
      </c>
      <c r="G88" s="365"/>
      <c r="H88" s="365"/>
      <c r="I88" s="365"/>
      <c r="J88" s="365"/>
      <c r="K88" s="365"/>
      <c r="L88" s="366">
        <f>+'[3]BP MARS   '!J17+'[3]BP MARS   '!J55+'[3]BP MARS   '!J56+'[3]BP MARS   '!J57+'[3]BP MARS   '!J58</f>
        <v>0</v>
      </c>
      <c r="M88" s="367">
        <f>'[3]BP AVRIL    '!J17+'[3]BP AVRIL    '!J55+'[3]BP AVRIL    '!J56+'[3]BP AVRIL    '!J57+'[3]BP AVRIL    '!J58</f>
        <v>0</v>
      </c>
      <c r="N88" s="367">
        <f>'[3]BP MAI     '!J58+'[3]BP MAI     '!J57+'[3]BP MAI     '!J56+'[3]BP MAI     '!J55+'[3]BP MAI     '!J17</f>
        <v>0</v>
      </c>
      <c r="O88" s="349">
        <f>'[3]BP  JUIN '!J17+'[3]BP  JUIN '!J55+'[3]BP  JUIN '!J56+'[3]BP  JUIN '!J57+'[3]BP  JUIN '!J58</f>
        <v>0</v>
      </c>
      <c r="P88" s="349">
        <f>'[3]BP JUILLET '!J17+'[3]BP JUILLET '!J55+'[3]BP JUILLET '!J56+'[3]BP JUILLET '!J57+'[3]BP JUILLET '!J58</f>
        <v>0</v>
      </c>
      <c r="Q88" s="349">
        <f>'[3]BP AOUT '!J17+'[3]BP AOUT '!J55+'[3]BP AOUT '!J56+'[3]BP AOUT '!J57+'[3]BP AOUT '!J58</f>
        <v>0</v>
      </c>
      <c r="R88" s="349">
        <f>'[3]BP SEPTEMBRE '!J17+'[3]BP SEPTEMBRE '!J55+'[3]BP SEPTEMBRE '!J56+'[3]BP SEPTEMBRE '!J57+'[3]BP SEPTEMBRE '!J58</f>
        <v>0</v>
      </c>
      <c r="S88" s="349">
        <f>'[3]BP OCTOBRE '!J17+'[3]BP OCTOBRE '!J55+'[3]BP OCTOBRE '!J56+'[3]BP OCTOBRE '!J57+'[3]BP OCTOBRE '!J58</f>
        <v>0</v>
      </c>
      <c r="T88" s="349">
        <f>'[3]BP NOVEMBRE '!J17+'[3]BP NOVEMBRE '!J55+'[3]BP NOVEMBRE '!J56+'[3]BP NOVEMBRE '!J57+'[3]BP NOVEMBRE '!J58</f>
        <v>0</v>
      </c>
      <c r="U88" s="349">
        <f>'[3]BP DECEMBRE '!J17+'[3]BP DECEMBRE '!J55+'[3]BP DECEMBRE '!J56+'[3]BP DECEMBRE '!J57+'[3]BP DECEMBRE '!J58</f>
        <v>0</v>
      </c>
    </row>
    <row r="89" spans="1:21" ht="20.25" customHeight="1" x14ac:dyDescent="0.3">
      <c r="A89" s="718" t="s">
        <v>559</v>
      </c>
      <c r="B89" s="718"/>
      <c r="C89" s="718"/>
      <c r="D89" s="718"/>
      <c r="E89" s="234">
        <f>+'BP FORMAT JUILLET 2023'!J14</f>
        <v>0</v>
      </c>
      <c r="F89" s="364">
        <v>89</v>
      </c>
      <c r="G89" s="365"/>
      <c r="H89" s="365"/>
      <c r="I89" s="365"/>
      <c r="J89" s="365"/>
      <c r="K89" s="365"/>
      <c r="L89" s="366"/>
      <c r="M89" s="367"/>
      <c r="N89" s="367"/>
      <c r="O89" s="349"/>
      <c r="P89" s="349"/>
      <c r="Q89" s="349"/>
      <c r="R89" s="349"/>
      <c r="S89" s="349"/>
      <c r="T89" s="349"/>
      <c r="U89" s="349"/>
    </row>
    <row r="90" spans="1:21" ht="20.25" customHeight="1" x14ac:dyDescent="0.3">
      <c r="A90" s="718" t="s">
        <v>560</v>
      </c>
      <c r="B90" s="718"/>
      <c r="C90" s="718"/>
      <c r="D90" s="718"/>
      <c r="E90" s="234">
        <f>E88+E89</f>
        <v>0</v>
      </c>
      <c r="F90" s="364">
        <v>90</v>
      </c>
      <c r="G90" s="365"/>
      <c r="H90" s="365"/>
      <c r="I90" s="365"/>
      <c r="J90" s="365"/>
      <c r="K90" s="365"/>
      <c r="L90" s="366">
        <f t="shared" ref="L90:U90" si="26">L88+K90</f>
        <v>0</v>
      </c>
      <c r="M90" s="367">
        <f t="shared" si="26"/>
        <v>0</v>
      </c>
      <c r="N90" s="367">
        <f t="shared" si="26"/>
        <v>0</v>
      </c>
      <c r="O90" s="367">
        <f t="shared" si="26"/>
        <v>0</v>
      </c>
      <c r="P90" s="367">
        <f t="shared" si="26"/>
        <v>0</v>
      </c>
      <c r="Q90" s="367">
        <f t="shared" si="26"/>
        <v>0</v>
      </c>
      <c r="R90" s="367">
        <f t="shared" si="26"/>
        <v>0</v>
      </c>
      <c r="S90" s="367">
        <f t="shared" si="26"/>
        <v>0</v>
      </c>
      <c r="T90" s="367">
        <f t="shared" si="26"/>
        <v>0</v>
      </c>
      <c r="U90" s="367">
        <f t="shared" si="26"/>
        <v>0</v>
      </c>
    </row>
    <row r="91" spans="1:21" ht="24" customHeight="1" x14ac:dyDescent="0.3">
      <c r="A91" s="718" t="s">
        <v>561</v>
      </c>
      <c r="B91" s="718"/>
      <c r="C91" s="718"/>
      <c r="D91" s="718"/>
      <c r="E91" s="234">
        <f>E57</f>
        <v>0</v>
      </c>
      <c r="F91" s="364">
        <v>91</v>
      </c>
      <c r="G91" s="365"/>
      <c r="H91" s="365"/>
      <c r="I91" s="365"/>
      <c r="J91" s="365"/>
      <c r="K91" s="365"/>
      <c r="L91" s="366" t="e">
        <f>+'[3]BP MARS   '!J59+'[3]BP MARS   '!J60+'[3]BP MARS   '!J61+'[3]BP MARS   '!J62+'[3]BP MARS   '!J63</f>
        <v>#VALUE!</v>
      </c>
      <c r="M91" s="367" t="e">
        <f>+'[3]BP AVRIL    '!J59+'[3]BP AVRIL    '!J60+'[3]BP AVRIL    '!J61+'[3]BP AVRIL    '!J62+'[3]BP AVRIL    '!J63</f>
        <v>#VALUE!</v>
      </c>
      <c r="N91" s="367" t="e">
        <f>+'[3]BP MAI     '!J59+'[3]BP MAI     '!J60+'[3]BP MAI     '!J61+'[3]BP MAI     '!J62+'[3]BP MAI     '!J63</f>
        <v>#VALUE!</v>
      </c>
      <c r="O91" s="349" t="e">
        <f>'[3]BP  JUIN '!J59+'[3]BP  JUIN '!J60+'[3]BP  JUIN '!J61+'[3]BP  JUIN '!J62+'[3]BP  JUIN '!J63</f>
        <v>#VALUE!</v>
      </c>
      <c r="P91" s="349" t="e">
        <f>'[3]BP JUILLET '!J59+'[3]BP JUILLET '!J60+'[3]BP JUILLET '!J61+'[3]BP JUILLET '!J62+'[3]BP JUILLET '!J63</f>
        <v>#VALUE!</v>
      </c>
      <c r="Q91" s="349" t="e">
        <f>'[3]BP AOUT '!J59+'[3]BP AOUT '!J60+'[3]BP AOUT '!J61+'[3]BP AOUT '!J62+'[3]BP AOUT '!J63</f>
        <v>#VALUE!</v>
      </c>
      <c r="R91" s="349" t="e">
        <f>'[3]BP SEPTEMBRE '!J59+'[3]BP SEPTEMBRE '!J60+'[3]BP SEPTEMBRE '!J61+'[3]BP SEPTEMBRE '!J62+'[3]BP SEPTEMBRE '!J63</f>
        <v>#VALUE!</v>
      </c>
      <c r="S91" s="349" t="e">
        <f>'[3]BP OCTOBRE '!J59+'[3]BP OCTOBRE '!J60+'[3]BP OCTOBRE '!J61+'[3]BP OCTOBRE '!J62+'[3]BP OCTOBRE '!J63</f>
        <v>#VALUE!</v>
      </c>
      <c r="T91" s="349" t="e">
        <f>'[3]BP NOVEMBRE '!J59+'[3]BP NOVEMBRE '!J60+'[3]BP NOVEMBRE '!J61+'[3]BP NOVEMBRE '!J62+'[3]BP NOVEMBRE '!J63</f>
        <v>#VALUE!</v>
      </c>
      <c r="U91" s="349" t="e">
        <f>'[3]BP DECEMBRE '!J59+'[3]BP DECEMBRE '!J60+'[3]BP DECEMBRE '!J61+'[3]BP DECEMBRE '!J62+'[3]BP DECEMBRE '!J63</f>
        <v>#VALUE!</v>
      </c>
    </row>
    <row r="92" spans="1:21" ht="24" customHeight="1" x14ac:dyDescent="0.3">
      <c r="A92" s="718" t="s">
        <v>562</v>
      </c>
      <c r="B92" s="718"/>
      <c r="C92" s="718"/>
      <c r="D92" s="718"/>
      <c r="E92" s="234">
        <f>'BP FORMAT JUILLET 2023'!F66</f>
        <v>226.83</v>
      </c>
      <c r="F92" s="364"/>
      <c r="G92" s="365"/>
      <c r="H92" s="365"/>
      <c r="I92" s="365"/>
      <c r="J92" s="365"/>
      <c r="K92" s="365"/>
      <c r="L92" s="366" t="e">
        <f>'[3]BP MARS   '!F105</f>
        <v>#VALUE!</v>
      </c>
      <c r="M92" s="367" t="e">
        <f>'[3]BP AVRIL    '!F105</f>
        <v>#VALUE!</v>
      </c>
      <c r="N92" s="367" t="e">
        <f>'[3]BP MAI     '!F105</f>
        <v>#VALUE!</v>
      </c>
      <c r="O92" s="349" t="e">
        <f>+'[3]BP  JUIN '!F105</f>
        <v>#VALUE!</v>
      </c>
      <c r="P92" s="349" t="e">
        <f>'[3]BP JUILLET '!F105</f>
        <v>#VALUE!</v>
      </c>
      <c r="Q92" s="349" t="e">
        <f>'[3]BP AOUT '!F105</f>
        <v>#VALUE!</v>
      </c>
      <c r="R92" s="349" t="e">
        <f>'[3]BP SEPTEMBRE '!F105</f>
        <v>#VALUE!</v>
      </c>
      <c r="S92" s="349" t="e">
        <f>'[3]BP OCTOBRE '!F105</f>
        <v>#VALUE!</v>
      </c>
      <c r="T92" s="349" t="e">
        <f>'[3]BP NOVEMBRE '!F105</f>
        <v>#VALUE!</v>
      </c>
      <c r="U92" s="349" t="e">
        <f>'[3]BP DECEMBRE '!F105</f>
        <v>#VALUE!</v>
      </c>
    </row>
    <row r="93" spans="1:21" ht="24" customHeight="1" x14ac:dyDescent="0.3">
      <c r="A93" s="718" t="s">
        <v>563</v>
      </c>
      <c r="B93" s="718"/>
      <c r="C93" s="718"/>
      <c r="D93" s="718"/>
      <c r="E93" s="234">
        <f>'BP FORMAT JUILLET 2023'!F67</f>
        <v>96.74</v>
      </c>
      <c r="F93" s="364"/>
      <c r="G93" s="365"/>
      <c r="H93" s="365"/>
      <c r="I93" s="365"/>
      <c r="J93" s="365"/>
      <c r="K93" s="365"/>
      <c r="L93" s="366" t="e">
        <f>'[3]BP MARS   '!F106</f>
        <v>#VALUE!</v>
      </c>
      <c r="M93" s="367" t="e">
        <f>'[3]BP AVRIL    '!F106</f>
        <v>#VALUE!</v>
      </c>
      <c r="N93" s="367" t="e">
        <f>'[3]BP MAI     '!F106</f>
        <v>#VALUE!</v>
      </c>
      <c r="O93" s="349" t="e">
        <f>+'[3]BP  JUIN '!F106</f>
        <v>#VALUE!</v>
      </c>
      <c r="P93" s="349" t="e">
        <f>'[3]BP JUILLET '!F106</f>
        <v>#VALUE!</v>
      </c>
      <c r="Q93" s="349" t="e">
        <f>'[3]BP AOUT '!F106</f>
        <v>#VALUE!</v>
      </c>
      <c r="R93" s="349" t="e">
        <f>'[3]BP SEPTEMBRE '!F106</f>
        <v>#VALUE!</v>
      </c>
      <c r="S93" s="349" t="e">
        <f>'[3]BP OCTOBRE '!F106</f>
        <v>#VALUE!</v>
      </c>
      <c r="T93" s="349" t="e">
        <f>'[3]BP NOVEMBRE '!F106</f>
        <v>#VALUE!</v>
      </c>
      <c r="U93" s="349" t="e">
        <f>'[3]BP DECEMBRE '!F106</f>
        <v>#VALUE!</v>
      </c>
    </row>
    <row r="94" spans="1:21" ht="24" customHeight="1" x14ac:dyDescent="0.3">
      <c r="A94" s="718" t="s">
        <v>564</v>
      </c>
      <c r="B94" s="718"/>
      <c r="C94" s="718"/>
      <c r="D94" s="718"/>
      <c r="E94" s="234">
        <f>'BP FORMAT JUILLET 2023'!F68</f>
        <v>0</v>
      </c>
      <c r="F94" s="364"/>
      <c r="G94" s="365"/>
      <c r="H94" s="365"/>
      <c r="I94" s="365"/>
      <c r="J94" s="365"/>
      <c r="K94" s="365"/>
      <c r="L94" s="366" t="e">
        <f>'[3]BP MARS   '!F107</f>
        <v>#VALUE!</v>
      </c>
      <c r="M94" s="367" t="e">
        <f>'[3]BP AVRIL    '!F107</f>
        <v>#VALUE!</v>
      </c>
      <c r="N94" s="367" t="e">
        <f>'[3]BP MAI     '!F107</f>
        <v>#VALUE!</v>
      </c>
      <c r="O94" s="349" t="e">
        <f>+'[3]BP  JUIN '!F107</f>
        <v>#VALUE!</v>
      </c>
      <c r="P94" s="349" t="e">
        <f>'[3]BP JUILLET '!F107</f>
        <v>#VALUE!</v>
      </c>
      <c r="Q94" s="349" t="e">
        <f>'[3]BP AOUT '!F107</f>
        <v>#VALUE!</v>
      </c>
      <c r="R94" s="349" t="e">
        <f>'[3]BP SEPTEMBRE '!F107</f>
        <v>#VALUE!</v>
      </c>
      <c r="S94" s="349" t="e">
        <f>'[3]BP OCTOBRE '!F107</f>
        <v>#VALUE!</v>
      </c>
      <c r="T94" s="349" t="e">
        <f>'[3]BP NOVEMBRE '!F107</f>
        <v>#VALUE!</v>
      </c>
      <c r="U94" s="349" t="e">
        <f>'[3]BP DECEMBRE '!F107</f>
        <v>#VALUE!</v>
      </c>
    </row>
    <row r="95" spans="1:21" ht="24" customHeight="1" x14ac:dyDescent="0.3">
      <c r="A95" s="718" t="s">
        <v>565</v>
      </c>
      <c r="B95" s="718"/>
      <c r="C95" s="718"/>
      <c r="D95" s="718"/>
      <c r="E95" s="234">
        <f>'BP FORMAT JUILLET 2023'!F69</f>
        <v>0</v>
      </c>
      <c r="F95" s="364"/>
      <c r="G95" s="365"/>
      <c r="H95" s="365"/>
      <c r="I95" s="365"/>
      <c r="J95" s="365"/>
      <c r="K95" s="365"/>
      <c r="L95" s="366">
        <f>'[3]BP MARS   '!F108</f>
        <v>0</v>
      </c>
      <c r="M95" s="367">
        <f>'[3]BP AVRIL    '!F108</f>
        <v>0</v>
      </c>
      <c r="N95" s="367" t="e">
        <f>'[3]BP MAI     '!F108</f>
        <v>#VALUE!</v>
      </c>
      <c r="O95" s="349" t="e">
        <f>+'[3]BP  JUIN '!F108</f>
        <v>#VALUE!</v>
      </c>
      <c r="P95" s="349" t="e">
        <f>'[3]BP JUILLET '!F108</f>
        <v>#VALUE!</v>
      </c>
      <c r="Q95" s="349" t="e">
        <f>'[3]BP AOUT '!F108</f>
        <v>#VALUE!</v>
      </c>
      <c r="R95" s="349" t="e">
        <f>'[3]BP SEPTEMBRE '!F108</f>
        <v>#VALUE!</v>
      </c>
      <c r="S95" s="349" t="e">
        <f>'[3]BP OCTOBRE '!F108</f>
        <v>#VALUE!</v>
      </c>
      <c r="T95" s="349" t="e">
        <f>'[3]BP NOVEMBRE '!F108</f>
        <v>#VALUE!</v>
      </c>
      <c r="U95" s="349" t="e">
        <f>'[3]BP DECEMBRE '!F108</f>
        <v>#VALUE!</v>
      </c>
    </row>
    <row r="96" spans="1:21" ht="24" customHeight="1" x14ac:dyDescent="0.3">
      <c r="A96" s="718" t="s">
        <v>566</v>
      </c>
      <c r="B96" s="718"/>
      <c r="C96" s="718"/>
      <c r="D96" s="718"/>
      <c r="E96" s="234">
        <f>'BP FORMAT JUILLET 2023'!F70</f>
        <v>0</v>
      </c>
      <c r="F96" s="364"/>
      <c r="G96" s="365"/>
      <c r="H96" s="365"/>
      <c r="I96" s="365"/>
      <c r="J96" s="365"/>
      <c r="K96" s="365"/>
      <c r="L96" s="366" t="e">
        <f>'[3]BP MARS   '!F109</f>
        <v>#VALUE!</v>
      </c>
      <c r="M96" s="367" t="e">
        <f>'[3]BP AVRIL    '!F109</f>
        <v>#VALUE!</v>
      </c>
      <c r="N96" s="367" t="e">
        <f>'[3]BP MAI     '!F109</f>
        <v>#VALUE!</v>
      </c>
      <c r="O96" s="349" t="e">
        <f>+'[3]BP  JUIN '!F109</f>
        <v>#VALUE!</v>
      </c>
      <c r="P96" s="349" t="e">
        <f>'[3]BP JUILLET '!F109</f>
        <v>#VALUE!</v>
      </c>
      <c r="Q96" s="349" t="e">
        <f>'[3]BP AOUT '!F109</f>
        <v>#VALUE!</v>
      </c>
      <c r="R96" s="349" t="e">
        <f>'[3]BP SEPTEMBRE '!F109</f>
        <v>#VALUE!</v>
      </c>
      <c r="S96" s="349" t="e">
        <f>'[3]BP OCTOBRE '!F109</f>
        <v>#VALUE!</v>
      </c>
      <c r="T96" s="349" t="e">
        <f>'[3]BP NOVEMBRE '!F109</f>
        <v>#VALUE!</v>
      </c>
      <c r="U96" s="349" t="e">
        <f>'[3]BP DECEMBRE '!F109</f>
        <v>#VALUE!</v>
      </c>
    </row>
    <row r="97" spans="1:21" ht="24" customHeight="1" x14ac:dyDescent="0.3">
      <c r="A97" s="718" t="s">
        <v>567</v>
      </c>
      <c r="B97" s="718"/>
      <c r="C97" s="718"/>
      <c r="D97" s="718"/>
      <c r="E97" s="234">
        <f>'BP FORMAT JUILLET 2023'!F73+'BP FORMAT JUILLET 2023'!F76+'BP FORMAT JUILLET 2023'!F78+'BP FORMAT JUILLET 2023'!F75+'BP FORMAT JUILLET 2023'!F44</f>
        <v>758.56</v>
      </c>
      <c r="F97" s="364"/>
      <c r="G97" s="365"/>
      <c r="H97" s="365"/>
      <c r="I97" s="365"/>
      <c r="J97" s="365"/>
      <c r="K97" s="365"/>
      <c r="L97" s="366" t="e">
        <f>'[3]BP MARS   '!F113</f>
        <v>#VALUE!</v>
      </c>
      <c r="M97" s="367" t="e">
        <f>'[3]BP AVRIL    '!F113</f>
        <v>#VALUE!</v>
      </c>
      <c r="N97" s="367" t="e">
        <f>'[3]BP MAI     '!F113</f>
        <v>#VALUE!</v>
      </c>
      <c r="O97" s="349" t="e">
        <f>+'[3]BP  JUIN '!F113</f>
        <v>#VALUE!</v>
      </c>
      <c r="P97" s="349" t="e">
        <f>'[3]BP JUILLET '!F113</f>
        <v>#VALUE!</v>
      </c>
      <c r="Q97" s="349" t="e">
        <f>'[3]BP AOUT '!F113</f>
        <v>#VALUE!</v>
      </c>
      <c r="R97" s="349" t="e">
        <f>'[3]BP SEPTEMBRE '!F113</f>
        <v>#VALUE!</v>
      </c>
      <c r="S97" s="349" t="e">
        <f>'[3]BP OCTOBRE '!F113</f>
        <v>#VALUE!</v>
      </c>
      <c r="T97" s="349" t="e">
        <f>'[3]BP NOVEMBRE '!F113</f>
        <v>#VALUE!</v>
      </c>
      <c r="U97" s="349" t="e">
        <f>'[3]BP DECEMBRE '!F113</f>
        <v>#VALUE!</v>
      </c>
    </row>
    <row r="98" spans="1:21" ht="24" customHeight="1" x14ac:dyDescent="0.3">
      <c r="A98" s="718" t="s">
        <v>568</v>
      </c>
      <c r="B98" s="718"/>
      <c r="C98" s="718"/>
      <c r="D98" s="718"/>
      <c r="E98" s="234">
        <f>'BP FORMAT JUILLET 2023'!G40+'BP FORMAT JUILLET 2023'!G43</f>
        <v>65.25</v>
      </c>
      <c r="F98" s="364">
        <v>98</v>
      </c>
      <c r="G98" s="365"/>
      <c r="H98" s="365"/>
      <c r="I98" s="365"/>
      <c r="J98" s="365"/>
      <c r="K98" s="365"/>
      <c r="L98" s="366" t="e">
        <f>'[3]BP MARS   '!G79+'[3]BP MARS   '!G80+'[3]BP MARS   '!G82+'[3]BP MARS   '!G83</f>
        <v>#VALUE!</v>
      </c>
      <c r="M98" s="367" t="e">
        <f>'[3]BP AVRIL    '!G79+'[3]BP AVRIL    '!G80+'[3]BP AVRIL    '!G82+'[3]BP AVRIL    '!G83</f>
        <v>#VALUE!</v>
      </c>
      <c r="N98" s="367" t="e">
        <f>'[3]BP MAI     '!G79+'[3]BP MAI     '!G80+'[3]BP MAI     '!G82+'[3]BP MAI     '!G83</f>
        <v>#VALUE!</v>
      </c>
      <c r="O98" s="349" t="e">
        <f>+'[3]BP  JUIN '!G79+'[3]BP  JUIN '!G80+'[3]BP  JUIN '!G82+'[3]BP  JUIN '!G83</f>
        <v>#VALUE!</v>
      </c>
      <c r="P98" s="349" t="e">
        <f>'[3]BP JUILLET '!G79+'[3]BP JUILLET '!G80+'[3]BP JUILLET '!G82+'[3]BP JUILLET '!G83</f>
        <v>#VALUE!</v>
      </c>
      <c r="Q98" s="349" t="e">
        <f>'[3]BP AOUT '!G79+'[3]BP AOUT '!G80+'[3]BP AOUT '!G82+'[3]BP AOUT '!G83</f>
        <v>#VALUE!</v>
      </c>
      <c r="R98" s="349" t="e">
        <f>'[3]BP SEPTEMBRE '!G79+'[3]BP SEPTEMBRE '!G80+'[3]BP SEPTEMBRE '!G82+'[3]BP SEPTEMBRE '!G83</f>
        <v>#VALUE!</v>
      </c>
      <c r="S98" s="349" t="e">
        <f>'[3]BP OCTOBRE '!G79+'[3]BP OCTOBRE '!G80+'[3]BP OCTOBRE '!G82+'[3]BP OCTOBRE '!G83</f>
        <v>#VALUE!</v>
      </c>
      <c r="T98" s="349" t="e">
        <f>'[3]BP NOVEMBRE '!G79+'[3]BP NOVEMBRE '!G80+'[3]BP NOVEMBRE '!G82+'[3]BP NOVEMBRE '!G83</f>
        <v>#VALUE!</v>
      </c>
      <c r="U98" s="349" t="e">
        <f>'[3]BP DECEMBRE '!G79+'[3]BP DECEMBRE '!G80+'[3]BP DECEMBRE '!G82+'[3]BP DECEMBRE '!G83</f>
        <v>#VALUE!</v>
      </c>
    </row>
    <row r="99" spans="1:21" ht="24" customHeight="1" x14ac:dyDescent="0.3">
      <c r="A99" s="718" t="s">
        <v>569</v>
      </c>
      <c r="B99" s="718"/>
      <c r="C99" s="718"/>
      <c r="D99" s="718"/>
      <c r="E99" s="234">
        <f>'BP FORMAT JUILLET 2023'!G76+'BP FORMAT JUILLET 2023'!G78+'BP FORMAT JUILLET 2023'!G44+'BP FORMAT JUILLET 2023'!G75</f>
        <v>65.25</v>
      </c>
      <c r="F99" s="364">
        <v>99</v>
      </c>
      <c r="G99" s="5"/>
      <c r="H99" s="5"/>
      <c r="I99" s="5"/>
      <c r="J99" s="5"/>
      <c r="K99" s="5"/>
      <c r="L99" s="5"/>
    </row>
    <row r="100" spans="1:21" ht="24" customHeight="1" x14ac:dyDescent="0.3">
      <c r="A100" s="662" t="s">
        <v>472</v>
      </c>
      <c r="B100" s="662"/>
      <c r="C100" s="662"/>
      <c r="D100" s="662"/>
      <c r="E100" s="368">
        <f>E85+E86+E88+E93+E94+E96-E97+E98+E104</f>
        <v>2665.73</v>
      </c>
      <c r="F100" s="5"/>
      <c r="G100" s="5"/>
      <c r="H100" s="5"/>
      <c r="I100" s="5"/>
      <c r="J100" s="5"/>
      <c r="K100" s="5"/>
      <c r="L100" s="5"/>
    </row>
    <row r="101" spans="1:21" ht="20.25" customHeight="1" x14ac:dyDescent="0.3">
      <c r="C101" s="5"/>
      <c r="E101" s="5"/>
      <c r="F101" s="5"/>
      <c r="G101" s="5"/>
      <c r="H101" s="5"/>
      <c r="I101" s="5"/>
      <c r="J101" s="5"/>
      <c r="K101" s="5"/>
      <c r="L101" s="5"/>
    </row>
    <row r="102" spans="1:21" ht="20.25" customHeight="1" x14ac:dyDescent="0.3">
      <c r="C102" s="5"/>
      <c r="E102" s="5"/>
      <c r="F102" s="5"/>
      <c r="G102" s="5"/>
      <c r="H102" s="5"/>
      <c r="I102" s="5"/>
      <c r="J102" s="5"/>
      <c r="K102" s="5"/>
      <c r="L102" s="5"/>
    </row>
    <row r="103" spans="1:21" ht="20.25" customHeight="1" x14ac:dyDescent="0.3">
      <c r="A103" s="718" t="s">
        <v>570</v>
      </c>
      <c r="B103" s="718"/>
      <c r="C103" s="718"/>
      <c r="D103" s="718"/>
      <c r="E103" s="307">
        <f>+E111</f>
        <v>0</v>
      </c>
      <c r="F103" s="307">
        <f>F111</f>
        <v>0</v>
      </c>
      <c r="G103" s="307"/>
      <c r="H103" s="307"/>
      <c r="I103" s="307"/>
      <c r="J103" s="307"/>
      <c r="K103" s="307">
        <f t="shared" ref="K103:U103" si="27">+K111</f>
        <v>0</v>
      </c>
      <c r="L103" s="118" t="e">
        <f t="shared" si="27"/>
        <v>#VALUE!</v>
      </c>
      <c r="M103" s="369" t="e">
        <f t="shared" si="27"/>
        <v>#VALUE!</v>
      </c>
      <c r="N103" s="369" t="e">
        <f t="shared" si="27"/>
        <v>#VALUE!</v>
      </c>
      <c r="O103" s="369" t="e">
        <f t="shared" si="27"/>
        <v>#VALUE!</v>
      </c>
      <c r="P103" s="369" t="e">
        <f t="shared" si="27"/>
        <v>#VALUE!</v>
      </c>
      <c r="Q103" s="369" t="e">
        <f t="shared" si="27"/>
        <v>#VALUE!</v>
      </c>
      <c r="R103" s="369" t="e">
        <f t="shared" si="27"/>
        <v>#VALUE!</v>
      </c>
      <c r="S103" s="369" t="e">
        <f t="shared" si="27"/>
        <v>#VALUE!</v>
      </c>
      <c r="T103" s="369" t="e">
        <f t="shared" si="27"/>
        <v>#VALUE!</v>
      </c>
      <c r="U103" s="369" t="e">
        <f t="shared" si="27"/>
        <v>#VALUE!</v>
      </c>
    </row>
    <row r="104" spans="1:21" ht="20.25" customHeight="1" x14ac:dyDescent="0.3">
      <c r="A104" s="718" t="s">
        <v>571</v>
      </c>
      <c r="B104" s="718"/>
      <c r="C104" s="718"/>
      <c r="D104" s="718"/>
      <c r="E104" s="307"/>
      <c r="F104" s="307"/>
      <c r="G104" s="307"/>
      <c r="H104" s="307"/>
      <c r="I104" s="307"/>
      <c r="J104" s="307"/>
      <c r="K104" s="307"/>
      <c r="L104" s="118"/>
      <c r="M104" s="369"/>
      <c r="N104" s="369"/>
      <c r="O104" s="369"/>
      <c r="P104" s="369"/>
      <c r="Q104" s="369"/>
      <c r="R104" s="369"/>
      <c r="S104" s="369"/>
      <c r="T104" s="369"/>
      <c r="U104" s="369"/>
    </row>
    <row r="105" spans="1:21" ht="20.25" customHeight="1" x14ac:dyDescent="0.3">
      <c r="A105" s="718" t="s">
        <v>86</v>
      </c>
      <c r="B105" s="718"/>
      <c r="C105" s="718"/>
      <c r="D105" s="718"/>
      <c r="E105" s="307"/>
      <c r="F105" s="307"/>
      <c r="G105" s="307"/>
      <c r="H105" s="307"/>
      <c r="I105" s="307"/>
      <c r="J105" s="307"/>
      <c r="K105" s="307">
        <f t="shared" ref="K105:U105" si="28">K85-K97+K98+K93+K96+K94+K88+K103</f>
        <v>0</v>
      </c>
      <c r="L105" s="370" t="e">
        <f t="shared" si="28"/>
        <v>#VALUE!</v>
      </c>
      <c r="M105" s="370" t="e">
        <f t="shared" si="28"/>
        <v>#VALUE!</v>
      </c>
      <c r="N105" s="370" t="e">
        <f t="shared" si="28"/>
        <v>#VALUE!</v>
      </c>
      <c r="O105" s="370" t="e">
        <f t="shared" si="28"/>
        <v>#VALUE!</v>
      </c>
      <c r="P105" s="370" t="e">
        <f t="shared" si="28"/>
        <v>#VALUE!</v>
      </c>
      <c r="Q105" s="370" t="e">
        <f t="shared" si="28"/>
        <v>#VALUE!</v>
      </c>
      <c r="R105" s="370" t="e">
        <f t="shared" si="28"/>
        <v>#VALUE!</v>
      </c>
      <c r="S105" s="370" t="e">
        <f t="shared" si="28"/>
        <v>#VALUE!</v>
      </c>
      <c r="T105" s="370" t="e">
        <f t="shared" si="28"/>
        <v>#VALUE!</v>
      </c>
      <c r="U105" s="370" t="e">
        <f t="shared" si="28"/>
        <v>#VALUE!</v>
      </c>
    </row>
    <row r="107" spans="1:21" ht="30.75" customHeight="1" x14ac:dyDescent="0.3">
      <c r="E107" s="371" t="s">
        <v>572</v>
      </c>
      <c r="F107" s="371"/>
      <c r="G107" s="360"/>
      <c r="H107" s="360"/>
      <c r="I107" s="360"/>
      <c r="J107" s="360"/>
      <c r="K107" s="360"/>
      <c r="L107" s="372" t="s">
        <v>544</v>
      </c>
      <c r="M107" s="373" t="s">
        <v>545</v>
      </c>
      <c r="N107" s="373" t="s">
        <v>554</v>
      </c>
      <c r="O107" s="373" t="s">
        <v>547</v>
      </c>
      <c r="P107" s="373" t="s">
        <v>548</v>
      </c>
      <c r="Q107" s="373" t="s">
        <v>549</v>
      </c>
      <c r="R107" s="373" t="s">
        <v>550</v>
      </c>
      <c r="S107" s="373" t="s">
        <v>551</v>
      </c>
      <c r="T107" s="373" t="s">
        <v>552</v>
      </c>
      <c r="U107" s="373" t="s">
        <v>553</v>
      </c>
    </row>
    <row r="108" spans="1:21" ht="20.25" customHeight="1" x14ac:dyDescent="0.3">
      <c r="A108" s="718" t="s">
        <v>573</v>
      </c>
      <c r="B108" s="718"/>
      <c r="C108" s="718"/>
      <c r="D108" s="718"/>
      <c r="E108" s="374">
        <f>C57</f>
        <v>0</v>
      </c>
      <c r="F108" s="374"/>
      <c r="G108" s="375"/>
      <c r="H108" s="375"/>
      <c r="I108" s="375"/>
      <c r="J108" s="375"/>
      <c r="K108" s="376"/>
      <c r="L108" s="377" t="e">
        <f>C60</f>
        <v>#VALUE!</v>
      </c>
      <c r="M108" s="374" t="e">
        <f>C61</f>
        <v>#VALUE!</v>
      </c>
      <c r="N108" s="374" t="e">
        <f>C62</f>
        <v>#VALUE!</v>
      </c>
      <c r="O108" s="374" t="e">
        <f>C63</f>
        <v>#VALUE!</v>
      </c>
      <c r="P108" s="374" t="e">
        <f>C64</f>
        <v>#VALUE!</v>
      </c>
      <c r="Q108" s="378" t="e">
        <f>C65</f>
        <v>#VALUE!</v>
      </c>
      <c r="R108" s="378" t="e">
        <f>C66</f>
        <v>#VALUE!</v>
      </c>
      <c r="S108" s="378" t="e">
        <f>+C67</f>
        <v>#VALUE!</v>
      </c>
      <c r="T108" s="378" t="e">
        <f>C68</f>
        <v>#VALUE!</v>
      </c>
      <c r="U108" s="378" t="e">
        <f>C69</f>
        <v>#VALUE!</v>
      </c>
    </row>
    <row r="109" spans="1:21" ht="20.25" customHeight="1" x14ac:dyDescent="0.3">
      <c r="A109" s="718" t="s">
        <v>574</v>
      </c>
      <c r="B109" s="718"/>
      <c r="C109" s="718"/>
      <c r="D109" s="718"/>
      <c r="E109" s="374">
        <f>E108</f>
        <v>0</v>
      </c>
      <c r="F109" s="374"/>
      <c r="G109" s="375"/>
      <c r="H109" s="375"/>
      <c r="I109" s="375"/>
      <c r="J109" s="375"/>
      <c r="K109" s="375"/>
      <c r="L109" s="377" t="e">
        <f t="shared" ref="L109:U109" si="29">L108-K108</f>
        <v>#VALUE!</v>
      </c>
      <c r="M109" s="374" t="e">
        <f t="shared" si="29"/>
        <v>#VALUE!</v>
      </c>
      <c r="N109" s="374" t="e">
        <f t="shared" si="29"/>
        <v>#VALUE!</v>
      </c>
      <c r="O109" s="374" t="e">
        <f t="shared" si="29"/>
        <v>#VALUE!</v>
      </c>
      <c r="P109" s="378" t="e">
        <f t="shared" si="29"/>
        <v>#VALUE!</v>
      </c>
      <c r="Q109" s="378" t="e">
        <f t="shared" si="29"/>
        <v>#VALUE!</v>
      </c>
      <c r="R109" s="378" t="e">
        <f t="shared" si="29"/>
        <v>#VALUE!</v>
      </c>
      <c r="S109" s="378" t="e">
        <f t="shared" si="29"/>
        <v>#VALUE!</v>
      </c>
      <c r="T109" s="378" t="e">
        <f t="shared" si="29"/>
        <v>#VALUE!</v>
      </c>
      <c r="U109" s="378" t="e">
        <f t="shared" si="29"/>
        <v>#VALUE!</v>
      </c>
    </row>
    <row r="110" spans="1:21" ht="20.25" customHeight="1" x14ac:dyDescent="0.3">
      <c r="A110" s="718" t="s">
        <v>575</v>
      </c>
      <c r="B110" s="718"/>
      <c r="C110" s="718"/>
      <c r="D110" s="718"/>
      <c r="E110" s="310">
        <f>IF(E108&lt;8037,0,E108-8037)</f>
        <v>0</v>
      </c>
      <c r="F110" s="310"/>
      <c r="G110" s="376"/>
      <c r="H110" s="376"/>
      <c r="I110" s="376"/>
      <c r="J110" s="376"/>
      <c r="K110" s="376"/>
      <c r="L110" s="379" t="e">
        <f t="shared" ref="L110:U110" si="30">IF(L108&lt;5358,0,L108-5358)</f>
        <v>#VALUE!</v>
      </c>
      <c r="M110" s="310" t="e">
        <f t="shared" si="30"/>
        <v>#VALUE!</v>
      </c>
      <c r="N110" s="310" t="e">
        <f t="shared" si="30"/>
        <v>#VALUE!</v>
      </c>
      <c r="O110" s="310" t="e">
        <f t="shared" si="30"/>
        <v>#VALUE!</v>
      </c>
      <c r="P110" s="310" t="e">
        <f t="shared" si="30"/>
        <v>#VALUE!</v>
      </c>
      <c r="Q110" s="310" t="e">
        <f t="shared" si="30"/>
        <v>#VALUE!</v>
      </c>
      <c r="R110" s="310" t="e">
        <f t="shared" si="30"/>
        <v>#VALUE!</v>
      </c>
      <c r="S110" s="310" t="e">
        <f t="shared" si="30"/>
        <v>#VALUE!</v>
      </c>
      <c r="T110" s="310" t="e">
        <f t="shared" si="30"/>
        <v>#VALUE!</v>
      </c>
      <c r="U110" s="310" t="e">
        <f t="shared" si="30"/>
        <v>#VALUE!</v>
      </c>
    </row>
    <row r="111" spans="1:21" ht="20.25" customHeight="1" x14ac:dyDescent="0.3">
      <c r="A111" s="718" t="s">
        <v>576</v>
      </c>
      <c r="B111" s="718"/>
      <c r="C111" s="718"/>
      <c r="D111" s="718"/>
      <c r="E111" s="310">
        <f>E110</f>
        <v>0</v>
      </c>
      <c r="F111" s="310"/>
      <c r="G111" s="376"/>
      <c r="H111" s="376"/>
      <c r="I111" s="376"/>
      <c r="J111" s="376"/>
      <c r="K111" s="376"/>
      <c r="L111" s="379" t="e">
        <f t="shared" ref="L111:U111" si="31">L110-K110</f>
        <v>#VALUE!</v>
      </c>
      <c r="M111" s="310" t="e">
        <f t="shared" si="31"/>
        <v>#VALUE!</v>
      </c>
      <c r="N111" s="310" t="e">
        <f t="shared" si="31"/>
        <v>#VALUE!</v>
      </c>
      <c r="O111" s="310" t="e">
        <f t="shared" si="31"/>
        <v>#VALUE!</v>
      </c>
      <c r="P111" s="310" t="e">
        <f t="shared" si="31"/>
        <v>#VALUE!</v>
      </c>
      <c r="Q111" s="310" t="e">
        <f t="shared" si="31"/>
        <v>#VALUE!</v>
      </c>
      <c r="R111" s="310" t="e">
        <f t="shared" si="31"/>
        <v>#VALUE!</v>
      </c>
      <c r="S111" s="310" t="e">
        <f t="shared" si="31"/>
        <v>#VALUE!</v>
      </c>
      <c r="T111" s="310" t="e">
        <f t="shared" si="31"/>
        <v>#VALUE!</v>
      </c>
      <c r="U111" s="310" t="e">
        <f t="shared" si="31"/>
        <v>#VALUE!</v>
      </c>
    </row>
    <row r="113" spans="1:21" ht="0.75" hidden="1" customHeight="1" x14ac:dyDescent="0.3">
      <c r="E113" s="380" t="s">
        <v>577</v>
      </c>
      <c r="F113" s="380"/>
      <c r="G113" s="380"/>
      <c r="H113" s="380"/>
      <c r="I113" s="380"/>
      <c r="J113" s="380"/>
      <c r="K113" s="380" t="s">
        <v>578</v>
      </c>
      <c r="L113" s="380" t="s">
        <v>544</v>
      </c>
      <c r="M113" s="380" t="s">
        <v>545</v>
      </c>
      <c r="N113" s="380" t="s">
        <v>554</v>
      </c>
      <c r="O113" s="380" t="s">
        <v>547</v>
      </c>
      <c r="P113" s="380" t="s">
        <v>548</v>
      </c>
      <c r="Q113" s="380" t="s">
        <v>549</v>
      </c>
      <c r="R113" s="380" t="s">
        <v>550</v>
      </c>
      <c r="S113" s="380" t="s">
        <v>551</v>
      </c>
      <c r="T113" s="380" t="s">
        <v>552</v>
      </c>
      <c r="U113" s="380" t="s">
        <v>553</v>
      </c>
    </row>
    <row r="114" spans="1:21" ht="0.75" hidden="1" customHeight="1" x14ac:dyDescent="0.3">
      <c r="A114" s="716" t="s">
        <v>579</v>
      </c>
      <c r="B114" s="716"/>
      <c r="C114" s="716"/>
      <c r="D114" s="716"/>
      <c r="E114" s="370">
        <f>E85+E88</f>
        <v>3262.3</v>
      </c>
      <c r="F114" s="370"/>
      <c r="G114" s="370"/>
      <c r="H114" s="370"/>
      <c r="I114" s="370"/>
      <c r="J114" s="370"/>
      <c r="K114" s="370">
        <f t="shared" ref="K114:U114" si="32">K85+K88</f>
        <v>0</v>
      </c>
      <c r="L114" s="370" t="e">
        <f t="shared" si="32"/>
        <v>#VALUE!</v>
      </c>
      <c r="M114" s="370" t="e">
        <f t="shared" si="32"/>
        <v>#VALUE!</v>
      </c>
      <c r="N114" s="370" t="e">
        <f t="shared" si="32"/>
        <v>#VALUE!</v>
      </c>
      <c r="O114" s="370" t="e">
        <f t="shared" si="32"/>
        <v>#VALUE!</v>
      </c>
      <c r="P114" s="370" t="e">
        <f t="shared" si="32"/>
        <v>#VALUE!</v>
      </c>
      <c r="Q114" s="370" t="e">
        <f t="shared" si="32"/>
        <v>#VALUE!</v>
      </c>
      <c r="R114" s="370" t="e">
        <f t="shared" si="32"/>
        <v>#VALUE!</v>
      </c>
      <c r="S114" s="370" t="e">
        <f t="shared" si="32"/>
        <v>#VALUE!</v>
      </c>
      <c r="T114" s="370" t="e">
        <f t="shared" si="32"/>
        <v>#VALUE!</v>
      </c>
      <c r="U114" s="370" t="e">
        <f t="shared" si="32"/>
        <v>#VALUE!</v>
      </c>
    </row>
    <row r="115" spans="1:21" ht="0.75" hidden="1" customHeight="1" x14ac:dyDescent="0.3">
      <c r="A115" s="716" t="s">
        <v>580</v>
      </c>
      <c r="B115" s="716"/>
      <c r="C115" s="716"/>
      <c r="D115" s="716"/>
      <c r="E115" s="370">
        <f>E91</f>
        <v>0</v>
      </c>
      <c r="F115" s="370"/>
      <c r="G115" s="370"/>
      <c r="H115" s="370"/>
      <c r="I115" s="370"/>
      <c r="J115" s="370"/>
      <c r="K115" s="370">
        <f>K91</f>
        <v>0</v>
      </c>
      <c r="L115" s="370" t="e">
        <f>L91</f>
        <v>#VALUE!</v>
      </c>
      <c r="M115" s="370" t="e">
        <f>M91</f>
        <v>#VALUE!</v>
      </c>
      <c r="N115" s="370" t="e">
        <f>N91</f>
        <v>#VALUE!</v>
      </c>
      <c r="O115" s="349" t="e">
        <f t="shared" ref="O115:U115" si="33">+O91</f>
        <v>#VALUE!</v>
      </c>
      <c r="P115" s="349" t="e">
        <f t="shared" si="33"/>
        <v>#VALUE!</v>
      </c>
      <c r="Q115" s="349" t="e">
        <f t="shared" si="33"/>
        <v>#VALUE!</v>
      </c>
      <c r="R115" s="349" t="e">
        <f t="shared" si="33"/>
        <v>#VALUE!</v>
      </c>
      <c r="S115" s="349" t="e">
        <f t="shared" si="33"/>
        <v>#VALUE!</v>
      </c>
      <c r="T115" s="349" t="e">
        <f t="shared" si="33"/>
        <v>#VALUE!</v>
      </c>
      <c r="U115" s="349" t="e">
        <f t="shared" si="33"/>
        <v>#VALUE!</v>
      </c>
    </row>
    <row r="116" spans="1:21" ht="0.75" hidden="1" customHeight="1" x14ac:dyDescent="0.3">
      <c r="A116" s="716" t="s">
        <v>581</v>
      </c>
      <c r="B116" s="716"/>
      <c r="C116" s="716"/>
      <c r="D116" s="716"/>
      <c r="E116" s="370">
        <f>E114+E115</f>
        <v>3262.3</v>
      </c>
      <c r="F116" s="370"/>
      <c r="G116" s="370"/>
      <c r="H116" s="370"/>
      <c r="I116" s="370"/>
      <c r="J116" s="370"/>
      <c r="K116" s="370">
        <f>K115+K114+E116</f>
        <v>3262.3</v>
      </c>
      <c r="L116" s="370" t="e">
        <f t="shared" ref="L116:U116" si="34">L115+L114+K116</f>
        <v>#VALUE!</v>
      </c>
      <c r="M116" s="370" t="e">
        <f t="shared" si="34"/>
        <v>#VALUE!</v>
      </c>
      <c r="N116" s="370" t="e">
        <f t="shared" si="34"/>
        <v>#VALUE!</v>
      </c>
      <c r="O116" s="370" t="e">
        <f t="shared" si="34"/>
        <v>#VALUE!</v>
      </c>
      <c r="P116" s="370" t="e">
        <f t="shared" si="34"/>
        <v>#VALUE!</v>
      </c>
      <c r="Q116" s="370" t="e">
        <f t="shared" si="34"/>
        <v>#VALUE!</v>
      </c>
      <c r="R116" s="370" t="e">
        <f t="shared" si="34"/>
        <v>#VALUE!</v>
      </c>
      <c r="S116" s="370" t="e">
        <f t="shared" si="34"/>
        <v>#VALUE!</v>
      </c>
      <c r="T116" s="370" t="e">
        <f t="shared" si="34"/>
        <v>#VALUE!</v>
      </c>
      <c r="U116" s="370" t="e">
        <f t="shared" si="34"/>
        <v>#VALUE!</v>
      </c>
    </row>
    <row r="117" spans="1:21" ht="0.75" hidden="1" customHeight="1" x14ac:dyDescent="0.3">
      <c r="A117" s="716" t="s">
        <v>582</v>
      </c>
      <c r="B117" s="716"/>
      <c r="C117" s="716"/>
      <c r="D117" s="716"/>
      <c r="E117" s="370">
        <f>D24</f>
        <v>3428</v>
      </c>
      <c r="F117" s="370"/>
      <c r="G117" s="370"/>
      <c r="H117" s="370"/>
      <c r="I117" s="370"/>
      <c r="J117" s="370"/>
      <c r="K117" s="370">
        <f>D25</f>
        <v>3428</v>
      </c>
      <c r="L117" s="370">
        <f>D26</f>
        <v>3428</v>
      </c>
      <c r="M117" s="370">
        <f>D27</f>
        <v>3428</v>
      </c>
      <c r="N117" s="370">
        <f>D28</f>
        <v>3428</v>
      </c>
      <c r="O117" s="302">
        <f>D29</f>
        <v>3428</v>
      </c>
      <c r="P117" s="302">
        <f>D30</f>
        <v>3428</v>
      </c>
      <c r="Q117" s="303"/>
      <c r="R117" s="303"/>
      <c r="S117" s="303"/>
      <c r="T117" s="303"/>
      <c r="U117" s="303"/>
    </row>
    <row r="118" spans="1:21" ht="0.75" hidden="1" customHeight="1" x14ac:dyDescent="0.3">
      <c r="A118" s="716" t="s">
        <v>583</v>
      </c>
      <c r="B118" s="716"/>
      <c r="C118" s="716"/>
      <c r="D118" s="716"/>
      <c r="E118" s="370">
        <f>4*E117</f>
        <v>13712</v>
      </c>
      <c r="F118" s="370"/>
      <c r="G118" s="370"/>
      <c r="H118" s="370"/>
      <c r="I118" s="370"/>
      <c r="J118" s="370"/>
      <c r="K118" s="370">
        <f t="shared" ref="K118:U118" si="35">4*K117</f>
        <v>13712</v>
      </c>
      <c r="L118" s="370">
        <f t="shared" si="35"/>
        <v>13712</v>
      </c>
      <c r="M118" s="370">
        <f t="shared" si="35"/>
        <v>13712</v>
      </c>
      <c r="N118" s="370">
        <f t="shared" si="35"/>
        <v>13712</v>
      </c>
      <c r="O118" s="370">
        <f t="shared" si="35"/>
        <v>13712</v>
      </c>
      <c r="P118" s="370">
        <f t="shared" si="35"/>
        <v>13712</v>
      </c>
      <c r="Q118" s="370">
        <f t="shared" si="35"/>
        <v>0</v>
      </c>
      <c r="R118" s="370">
        <f t="shared" si="35"/>
        <v>0</v>
      </c>
      <c r="S118" s="370">
        <f t="shared" si="35"/>
        <v>0</v>
      </c>
      <c r="T118" s="370">
        <f t="shared" si="35"/>
        <v>0</v>
      </c>
      <c r="U118" s="370">
        <f t="shared" si="35"/>
        <v>0</v>
      </c>
    </row>
    <row r="119" spans="1:21" ht="0.75" hidden="1" customHeight="1" x14ac:dyDescent="0.3">
      <c r="A119" s="716" t="s">
        <v>584</v>
      </c>
      <c r="B119" s="716"/>
      <c r="C119" s="716"/>
      <c r="D119" s="716"/>
      <c r="E119" s="370">
        <f>'[3]BP  JANV. COMMENTE 1   '!G80+'[3]BP  JANV. COMMENTE 1   '!G81+'[3]BP  JANV. COMMENTE 1   '!G82+'[3]BP  JANV. COMMENTE 1   '!G83+'[3]BP  JANV. COMMENTE 1   '!G84+'[3]BP  JANV. COMMENTE 1   '!G85</f>
        <v>245.54</v>
      </c>
      <c r="F119" s="370"/>
      <c r="G119" s="370"/>
      <c r="H119" s="370"/>
      <c r="I119" s="370"/>
      <c r="J119" s="370"/>
      <c r="K119" s="370">
        <f>'[3]BP FEVRIER    '!G79+'[3]BP FEVRIER    '!G80+'[3]BP FEVRIER    '!G81+'[3]BP FEVRIER    '!G82+'[3]BP FEVRIER    '!G83+'[3]BP FEVRIER    '!G84+'[3]BP FEVRIER    '!G85</f>
        <v>0</v>
      </c>
      <c r="L119" s="370" t="e">
        <f>'[3]BP MARS   '!G79+'[3]BP MARS   '!G80+'[3]BP MARS   '!G81+'[3]BP MARS   '!G82+'[3]BP MARS   '!G83+'[3]BP MARS   '!G84+'[3]BP MARS   '!G85</f>
        <v>#VALUE!</v>
      </c>
      <c r="M119" s="370" t="e">
        <f>'[3]BP AVRIL    '!G79+'[3]BP AVRIL    '!G80+'[3]BP AVRIL    '!G81+'[3]BP AVRIL    '!G82+'[3]BP AVRIL    '!G83+'[3]BP AVRIL    '!G84+'[3]BP AVRIL    '!G85</f>
        <v>#VALUE!</v>
      </c>
      <c r="N119" s="370" t="e">
        <f>'[3]BP MAI     '!G79+'[3]BP MAI     '!G80+'[3]BP MAI     '!G81+'[3]BP MAI     '!G82+'[3]BP MAI     '!G83+'[3]BP MAI     '!G84+'[3]BP MAI     '!G87</f>
        <v>#VALUE!</v>
      </c>
      <c r="O119" s="370" t="e">
        <f>'[3]BP  JUIN '!G79+'[3]BP  JUIN '!G80+'[3]BP  JUIN '!G81+'[3]BP  JUIN '!G82+'[3]BP  JUIN '!G83+'[3]BP  JUIN '!G84+'[3]BP  JUIN '!G87</f>
        <v>#VALUE!</v>
      </c>
      <c r="P119" s="349" t="e">
        <f>+'[3]BP JUILLET '!G79+'[3]BP JUILLET '!G80+'[3]BP JUILLET '!G81+'[3]BP JUILLET '!G82+'[3]BP JUILLET '!G83+'[3]BP JUILLET '!G84+'[3]BP JUILLET '!G87</f>
        <v>#VALUE!</v>
      </c>
      <c r="Q119" s="303"/>
      <c r="R119" s="303"/>
      <c r="S119" s="303"/>
      <c r="T119" s="303"/>
      <c r="U119" s="303"/>
    </row>
    <row r="120" spans="1:21" ht="0.75" hidden="1" customHeight="1" x14ac:dyDescent="0.3">
      <c r="A120" s="716" t="s">
        <v>585</v>
      </c>
      <c r="B120" s="716"/>
      <c r="C120" s="716"/>
      <c r="D120" s="716"/>
      <c r="E120" s="304">
        <f>IF(E114&lt;=E118,E114*0.9825+E119,E118*0.9825+E114-E118+E119)</f>
        <v>3450.7497500000004</v>
      </c>
      <c r="F120" s="304"/>
      <c r="G120" s="304"/>
      <c r="H120" s="304"/>
      <c r="I120" s="304"/>
      <c r="J120" s="304"/>
      <c r="K120" s="304">
        <f t="shared" ref="K120:U120" si="36">IF(K114&lt;=K118,K114*0.9825+K119,K118*0.9825+K114-K118+K119)</f>
        <v>0</v>
      </c>
      <c r="L120" s="304" t="e">
        <f t="shared" si="36"/>
        <v>#VALUE!</v>
      </c>
      <c r="M120" s="304" t="e">
        <f t="shared" si="36"/>
        <v>#VALUE!</v>
      </c>
      <c r="N120" s="304" t="e">
        <f t="shared" si="36"/>
        <v>#VALUE!</v>
      </c>
      <c r="O120" s="304" t="e">
        <f t="shared" si="36"/>
        <v>#VALUE!</v>
      </c>
      <c r="P120" s="304" t="e">
        <f t="shared" si="36"/>
        <v>#VALUE!</v>
      </c>
      <c r="Q120" s="304" t="e">
        <f t="shared" si="36"/>
        <v>#VALUE!</v>
      </c>
      <c r="R120" s="304" t="e">
        <f t="shared" si="36"/>
        <v>#VALUE!</v>
      </c>
      <c r="S120" s="304" t="e">
        <f t="shared" si="36"/>
        <v>#VALUE!</v>
      </c>
      <c r="T120" s="304" t="e">
        <f t="shared" si="36"/>
        <v>#VALUE!</v>
      </c>
      <c r="U120" s="304" t="e">
        <f t="shared" si="36"/>
        <v>#VALUE!</v>
      </c>
    </row>
    <row r="121" spans="1:21" ht="0.75" hidden="1" customHeight="1" x14ac:dyDescent="0.3">
      <c r="A121" s="716" t="s">
        <v>586</v>
      </c>
      <c r="B121" s="716"/>
      <c r="C121" s="716"/>
      <c r="D121" s="716"/>
      <c r="E121" s="130"/>
      <c r="F121" s="130"/>
      <c r="G121" s="130"/>
      <c r="H121" s="130"/>
      <c r="I121" s="130"/>
      <c r="J121" s="130"/>
      <c r="K121" s="130"/>
      <c r="L121" s="130"/>
      <c r="M121" s="130"/>
      <c r="N121" s="130"/>
      <c r="O121" s="130"/>
    </row>
    <row r="122" spans="1:21" ht="0.75" hidden="1" customHeight="1" x14ac:dyDescent="0.3"/>
    <row r="123" spans="1:21" ht="0.75" hidden="1" customHeight="1" x14ac:dyDescent="0.3"/>
    <row r="124" spans="1:21" ht="0.75" hidden="1" customHeight="1" x14ac:dyDescent="0.3">
      <c r="B124" s="130">
        <v>13000</v>
      </c>
      <c r="D124" s="129">
        <v>1000</v>
      </c>
    </row>
    <row r="125" spans="1:21" ht="14.4" x14ac:dyDescent="0.3">
      <c r="B125" t="s">
        <v>587</v>
      </c>
      <c r="C125" s="124">
        <f>'BP FORMAT JUILLET 2023'!C33</f>
        <v>3925</v>
      </c>
    </row>
    <row r="127" spans="1:21" ht="14.4" x14ac:dyDescent="0.3">
      <c r="A127" t="s">
        <v>588</v>
      </c>
    </row>
    <row r="129" spans="1:11" s="6" customFormat="1" ht="13.8" x14ac:dyDescent="0.25">
      <c r="A129" s="6">
        <v>3</v>
      </c>
      <c r="B129" s="717" t="s">
        <v>589</v>
      </c>
      <c r="C129" s="717"/>
      <c r="D129" s="381">
        <f>4*C125</f>
        <v>15700</v>
      </c>
      <c r="F129" s="382"/>
      <c r="H129" s="383"/>
    </row>
    <row r="130" spans="1:11" s="6" customFormat="1" ht="13.8" x14ac:dyDescent="0.25">
      <c r="A130" s="6">
        <v>4</v>
      </c>
      <c r="B130" s="711" t="s">
        <v>590</v>
      </c>
      <c r="C130" s="711"/>
      <c r="D130" s="381">
        <f>E85+E90</f>
        <v>3262.3</v>
      </c>
      <c r="E130" s="384"/>
      <c r="F130" s="385"/>
      <c r="K130" s="386"/>
    </row>
    <row r="131" spans="1:11" s="6" customFormat="1" ht="13.8" x14ac:dyDescent="0.25">
      <c r="A131" s="6">
        <v>5</v>
      </c>
      <c r="B131" s="711" t="s">
        <v>591</v>
      </c>
      <c r="C131" s="711"/>
      <c r="D131" s="381">
        <f>E57</f>
        <v>0</v>
      </c>
      <c r="E131" s="384"/>
      <c r="F131" s="385"/>
      <c r="K131" s="386"/>
    </row>
    <row r="132" spans="1:11" s="6" customFormat="1" ht="13.8" x14ac:dyDescent="0.25">
      <c r="A132" s="6">
        <v>6</v>
      </c>
      <c r="B132" s="711" t="s">
        <v>592</v>
      </c>
      <c r="C132" s="711"/>
      <c r="D132" s="387">
        <f>G57</f>
        <v>0</v>
      </c>
      <c r="E132" s="384"/>
      <c r="F132" s="385"/>
      <c r="H132" s="388"/>
      <c r="K132" s="386"/>
    </row>
    <row r="133" spans="1:11" s="6" customFormat="1" ht="13.8" x14ac:dyDescent="0.25">
      <c r="A133" s="6">
        <v>7</v>
      </c>
      <c r="B133" s="711" t="s">
        <v>438</v>
      </c>
      <c r="C133" s="711"/>
      <c r="D133" s="381">
        <f>D130+D131+D132</f>
        <v>3262.3</v>
      </c>
      <c r="E133" s="389"/>
      <c r="F133" s="385"/>
      <c r="H133" s="388"/>
    </row>
    <row r="134" spans="1:11" s="6" customFormat="1" ht="13.8" x14ac:dyDescent="0.25">
      <c r="A134" s="6">
        <v>8</v>
      </c>
      <c r="B134" s="711" t="s">
        <v>593</v>
      </c>
      <c r="C134" s="711"/>
      <c r="D134" s="381">
        <f>E98+E99</f>
        <v>130.5</v>
      </c>
      <c r="H134" s="389"/>
      <c r="I134" s="389"/>
    </row>
    <row r="135" spans="1:11" s="6" customFormat="1" ht="13.8" x14ac:dyDescent="0.25">
      <c r="A135" s="6">
        <v>9</v>
      </c>
      <c r="F135" s="184" t="s">
        <v>212</v>
      </c>
      <c r="H135" s="389"/>
      <c r="I135" s="389"/>
      <c r="K135" s="382"/>
    </row>
    <row r="136" spans="1:11" s="6" customFormat="1" ht="14.4" x14ac:dyDescent="0.3">
      <c r="A136" s="6">
        <v>10</v>
      </c>
      <c r="B136" s="715" t="s">
        <v>594</v>
      </c>
      <c r="C136" s="715"/>
      <c r="D136" s="715"/>
      <c r="E136" s="390">
        <v>6.8000000000000005E-2</v>
      </c>
      <c r="F136" s="391">
        <f>IF(D133&lt;D129,D130*0.9825+D134,IF(D130&gt;D129,D129*0.9825+D130-D129+D134, D130*0.9825+D134))</f>
        <v>3335.7097500000004</v>
      </c>
      <c r="H136"/>
      <c r="I136" s="392"/>
    </row>
    <row r="137" spans="1:11" s="6" customFormat="1" ht="14.4" x14ac:dyDescent="0.3">
      <c r="A137" s="6">
        <v>11</v>
      </c>
      <c r="B137" s="715" t="s">
        <v>595</v>
      </c>
      <c r="C137" s="715"/>
      <c r="D137" s="715"/>
      <c r="E137" s="390">
        <v>6.8000000000000005E-2</v>
      </c>
      <c r="F137" s="393">
        <f>IF(D133&gt;D129,IF(D130&gt;D129,D131,IF((D129-D130)&gt;D132,(D129-D130-D132)*0.9825+D131-(D129-D130-D132),D131)),D131*0.9825)</f>
        <v>0</v>
      </c>
      <c r="H137" s="392"/>
      <c r="I137" s="392"/>
      <c r="J137" s="382"/>
    </row>
    <row r="138" spans="1:11" s="6" customFormat="1" ht="14.4" x14ac:dyDescent="0.3">
      <c r="A138" s="6">
        <v>12</v>
      </c>
      <c r="B138" s="715" t="s">
        <v>596</v>
      </c>
      <c r="C138" s="715"/>
      <c r="D138" s="715"/>
      <c r="E138" s="390">
        <v>6.8000000000000005E-2</v>
      </c>
      <c r="F138" s="130">
        <f>IF(D133&lt;D129,D132*0.9825,IF(D130&gt;D129,D132,IF((D129-D130)&gt;D132,D132*0.9825,(D129-D130)*0.9825+D132-(D129-D130))))</f>
        <v>0</v>
      </c>
      <c r="H138" s="382"/>
    </row>
    <row r="139" spans="1:11" s="6" customFormat="1" ht="13.8" x14ac:dyDescent="0.25">
      <c r="A139" s="6">
        <v>13</v>
      </c>
      <c r="B139" s="715" t="s">
        <v>597</v>
      </c>
      <c r="C139" s="715"/>
      <c r="D139" s="715"/>
      <c r="E139" s="390">
        <v>2.9000000000000001E-2</v>
      </c>
      <c r="F139" s="391">
        <f>F136</f>
        <v>3335.7097500000004</v>
      </c>
    </row>
    <row r="140" spans="1:11" s="6" customFormat="1" ht="13.8" x14ac:dyDescent="0.25">
      <c r="A140" s="6">
        <v>14</v>
      </c>
      <c r="B140" s="715" t="s">
        <v>598</v>
      </c>
      <c r="C140" s="715"/>
      <c r="D140" s="715"/>
      <c r="E140" s="390">
        <v>2.9000000000000001E-2</v>
      </c>
      <c r="F140" s="391">
        <f>F137+F138</f>
        <v>0</v>
      </c>
    </row>
    <row r="141" spans="1:11" s="6" customFormat="1" ht="13.8" x14ac:dyDescent="0.25">
      <c r="A141" s="6">
        <v>15</v>
      </c>
      <c r="B141" s="715" t="s">
        <v>599</v>
      </c>
      <c r="C141" s="715"/>
      <c r="D141" s="715"/>
      <c r="E141" s="394">
        <f>'HEURES SUPPLEMENTAIRES '!D57</f>
        <v>0.11310000000000001</v>
      </c>
      <c r="F141" s="391">
        <f>D131</f>
        <v>0</v>
      </c>
    </row>
    <row r="143" spans="1:11" ht="14.4" x14ac:dyDescent="0.3">
      <c r="A143" t="s">
        <v>600</v>
      </c>
    </row>
    <row r="144" spans="1:11" ht="14.4" x14ac:dyDescent="0.3">
      <c r="A144" s="395">
        <v>45778</v>
      </c>
      <c r="B144" t="s">
        <v>601</v>
      </c>
    </row>
    <row r="145" spans="1:2" ht="14.4" x14ac:dyDescent="0.3">
      <c r="A145" s="396">
        <f>IF('Masque de Saisie'!G9&lt;20,IF('Masque de Saisie'!E38&lt;A144,('BP FORMAT JUILLET 2023'!G20+'BP FORMAT JUILLET 2023'!G21+'BP FORMAT JUILLET 2023'!G22)*1.5,0),IF('Masque de Saisie'!G9&gt;=250,0,0.5*('BP FORMAT JUILLET 2023'!G20+'BP FORMAT JUILLET 2023'!G21+'BP FORMAT JUILLET 2023'!G22)))</f>
        <v>0</v>
      </c>
      <c r="B145" t="s">
        <v>602</v>
      </c>
    </row>
  </sheetData>
  <mergeCells count="62">
    <mergeCell ref="A19:M19"/>
    <mergeCell ref="N19:Q19"/>
    <mergeCell ref="B21:I21"/>
    <mergeCell ref="N21:Q21"/>
    <mergeCell ref="B38:C38"/>
    <mergeCell ref="E38:F38"/>
    <mergeCell ref="G38:K38"/>
    <mergeCell ref="B40:C40"/>
    <mergeCell ref="B41:C41"/>
    <mergeCell ref="B42:C42"/>
    <mergeCell ref="B43:C43"/>
    <mergeCell ref="B44:C44"/>
    <mergeCell ref="B45:C45"/>
    <mergeCell ref="B46:C46"/>
    <mergeCell ref="B47:C47"/>
    <mergeCell ref="B48:C48"/>
    <mergeCell ref="B49:C49"/>
    <mergeCell ref="B50:C50"/>
    <mergeCell ref="B54:K54"/>
    <mergeCell ref="A85:D85"/>
    <mergeCell ref="A86:D86"/>
    <mergeCell ref="A87:D87"/>
    <mergeCell ref="A88:D88"/>
    <mergeCell ref="A89:D89"/>
    <mergeCell ref="A90:D90"/>
    <mergeCell ref="A91:D91"/>
    <mergeCell ref="A92:D92"/>
    <mergeCell ref="A93:D93"/>
    <mergeCell ref="A94:D94"/>
    <mergeCell ref="A95:D95"/>
    <mergeCell ref="A96:D96"/>
    <mergeCell ref="A97:D97"/>
    <mergeCell ref="A98:D98"/>
    <mergeCell ref="A99:D99"/>
    <mergeCell ref="A100:D100"/>
    <mergeCell ref="A103:D103"/>
    <mergeCell ref="A104:D104"/>
    <mergeCell ref="A105:D105"/>
    <mergeCell ref="A108:D108"/>
    <mergeCell ref="A109:D109"/>
    <mergeCell ref="A110:D110"/>
    <mergeCell ref="A111:D111"/>
    <mergeCell ref="A114:D114"/>
    <mergeCell ref="A115:D115"/>
    <mergeCell ref="A116:D116"/>
    <mergeCell ref="A117:D117"/>
    <mergeCell ref="A118:D118"/>
    <mergeCell ref="A119:D119"/>
    <mergeCell ref="A120:D120"/>
    <mergeCell ref="A121:D121"/>
    <mergeCell ref="B129:C129"/>
    <mergeCell ref="B130:C130"/>
    <mergeCell ref="B131:C131"/>
    <mergeCell ref="B132:C132"/>
    <mergeCell ref="B133:C133"/>
    <mergeCell ref="B134:C134"/>
    <mergeCell ref="B136:D136"/>
    <mergeCell ref="B137:D137"/>
    <mergeCell ref="B138:D138"/>
    <mergeCell ref="B139:D139"/>
    <mergeCell ref="B140:D140"/>
    <mergeCell ref="B141:D141"/>
  </mergeCells>
  <printOptions horizontalCentered="1" verticalCentered="1"/>
  <pageMargins left="0.118055555555556" right="0.118055555555556" top="0.15763888888888899" bottom="0.15763888888888899" header="0.511811023622047" footer="0.511811023622047"/>
  <pageSetup paperSize="9" scale="75" orientation="landscape" cellComments="atEnd" horizontalDpi="300" verticalDpi="300"/>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55"/>
  <sheetViews>
    <sheetView topLeftCell="A17" zoomScale="110" zoomScaleNormal="110" workbookViewId="0">
      <selection activeCell="H21" sqref="H21"/>
    </sheetView>
  </sheetViews>
  <sheetFormatPr baseColWidth="10" defaultColWidth="10.5546875" defaultRowHeight="14.25" customHeight="1" x14ac:dyDescent="0.3"/>
  <cols>
    <col min="2" max="2" width="25.5546875" customWidth="1"/>
    <col min="3" max="3" width="22" customWidth="1"/>
    <col min="5" max="5" width="18.88671875" customWidth="1"/>
  </cols>
  <sheetData>
    <row r="1" spans="2:9" ht="14.4" x14ac:dyDescent="0.3">
      <c r="B1" s="6" t="s">
        <v>603</v>
      </c>
    </row>
    <row r="2" spans="2:9" ht="14.4" x14ac:dyDescent="0.3">
      <c r="B2" s="6"/>
    </row>
    <row r="3" spans="2:9" s="6" customFormat="1" ht="13.8" x14ac:dyDescent="0.25"/>
    <row r="4" spans="2:9" s="6" customFormat="1" ht="14.25" customHeight="1" x14ac:dyDescent="0.25">
      <c r="B4" s="718" t="s">
        <v>604</v>
      </c>
      <c r="E4" s="6" t="s">
        <v>605</v>
      </c>
    </row>
    <row r="5" spans="2:9" s="6" customFormat="1" ht="13.8" x14ac:dyDescent="0.25">
      <c r="B5" s="718"/>
      <c r="D5" s="388"/>
      <c r="E5" s="6" t="s">
        <v>606</v>
      </c>
    </row>
    <row r="6" spans="2:9" s="6" customFormat="1" ht="13.8" x14ac:dyDescent="0.25"/>
    <row r="7" spans="2:9" s="6" customFormat="1" ht="13.8" x14ac:dyDescent="0.25"/>
    <row r="8" spans="2:9" s="6" customFormat="1" ht="14.25" customHeight="1" x14ac:dyDescent="0.25">
      <c r="B8" s="727" t="s">
        <v>607</v>
      </c>
      <c r="D8" s="711" t="s">
        <v>608</v>
      </c>
      <c r="E8" s="711"/>
      <c r="F8" s="711"/>
      <c r="G8" s="397">
        <f>'BP VERSION JANVIER 2023'!J33</f>
        <v>3262.3</v>
      </c>
    </row>
    <row r="9" spans="2:9" s="6" customFormat="1" ht="25.5" customHeight="1" x14ac:dyDescent="0.25">
      <c r="B9" s="727"/>
      <c r="D9" s="398" t="s">
        <v>609</v>
      </c>
      <c r="E9" s="399"/>
      <c r="F9" s="399"/>
      <c r="G9" s="397">
        <f>-'BP VERSION JANVIER 2023'!F73</f>
        <v>-758.56</v>
      </c>
    </row>
    <row r="10" spans="2:9" s="6" customFormat="1" ht="15" customHeight="1" x14ac:dyDescent="0.25">
      <c r="B10" s="727"/>
      <c r="D10" s="650" t="s">
        <v>610</v>
      </c>
      <c r="E10" s="650"/>
      <c r="F10" s="650"/>
      <c r="G10" s="397">
        <f>'BP VERSION JANVIER 2023'!F74</f>
        <v>98</v>
      </c>
    </row>
    <row r="11" spans="2:9" s="6" customFormat="1" ht="15" customHeight="1" x14ac:dyDescent="0.25">
      <c r="B11" s="727"/>
      <c r="D11" s="650" t="s">
        <v>611</v>
      </c>
      <c r="E11" s="650"/>
      <c r="F11" s="650"/>
      <c r="G11" s="397">
        <f>'BP VERSION JANVIER 2023'!F75</f>
        <v>300</v>
      </c>
      <c r="I11" s="6" t="s">
        <v>612</v>
      </c>
    </row>
    <row r="12" spans="2:9" s="6" customFormat="1" ht="25.5" customHeight="1" x14ac:dyDescent="0.25">
      <c r="B12" s="727"/>
      <c r="D12" s="650" t="s">
        <v>613</v>
      </c>
      <c r="E12" s="650"/>
      <c r="F12" s="650"/>
      <c r="G12" s="397">
        <f>'BP VERSION JANVIER 2023'!F76</f>
        <v>210</v>
      </c>
    </row>
    <row r="13" spans="2:9" s="6" customFormat="1" ht="25.5" customHeight="1" x14ac:dyDescent="0.25">
      <c r="B13" s="727"/>
      <c r="D13" s="400"/>
      <c r="E13" s="401"/>
      <c r="F13" s="402"/>
      <c r="G13" s="403">
        <f>-'BP VERSION JANVIER 2023'!J32</f>
        <v>-62.299999999999983</v>
      </c>
    </row>
    <row r="14" spans="2:9" s="6" customFormat="1" ht="13.8" x14ac:dyDescent="0.25">
      <c r="B14" s="727"/>
      <c r="D14" s="717" t="s">
        <v>614</v>
      </c>
      <c r="E14" s="717"/>
      <c r="F14" s="717"/>
      <c r="G14" s="403">
        <f>'BP VERSION JANVIER 2023'!F77</f>
        <v>0</v>
      </c>
    </row>
    <row r="15" spans="2:9" s="6" customFormat="1" ht="13.8" x14ac:dyDescent="0.25">
      <c r="B15" s="727"/>
      <c r="G15" s="404">
        <f>SUM(G8:G14)</f>
        <v>3049.44</v>
      </c>
      <c r="H15" s="397">
        <f>'BP VERSION JANVIER 2023'!J78</f>
        <v>3049.44</v>
      </c>
      <c r="I15" s="397">
        <f>'BP FORMAT JUILLET 2023'!J84</f>
        <v>3049.44</v>
      </c>
    </row>
    <row r="16" spans="2:9" s="6" customFormat="1" ht="13.8" x14ac:dyDescent="0.25">
      <c r="B16" s="405"/>
    </row>
    <row r="17" spans="2:9" s="6" customFormat="1" ht="13.8" x14ac:dyDescent="0.25"/>
    <row r="18" spans="2:9" s="6" customFormat="1" ht="14.25" customHeight="1" x14ac:dyDescent="0.25">
      <c r="B18" s="727" t="s">
        <v>86</v>
      </c>
      <c r="D18" s="711" t="s">
        <v>608</v>
      </c>
      <c r="E18" s="711"/>
      <c r="F18" s="711"/>
      <c r="G18" s="397">
        <f>'BP VERSION JANVIER 2023'!J33</f>
        <v>3262.3</v>
      </c>
      <c r="H18" s="6" t="s">
        <v>891</v>
      </c>
    </row>
    <row r="19" spans="2:9" s="6" customFormat="1" ht="13.8" x14ac:dyDescent="0.25">
      <c r="B19" s="727"/>
      <c r="D19" s="729" t="s">
        <v>609</v>
      </c>
      <c r="E19" s="729"/>
      <c r="F19" s="729"/>
      <c r="G19" s="397">
        <f>-'BP VERSION JANVIER 2023'!F73</f>
        <v>-758.56</v>
      </c>
      <c r="H19" s="6" t="s">
        <v>892</v>
      </c>
    </row>
    <row r="20" spans="2:9" s="6" customFormat="1" ht="13.8" x14ac:dyDescent="0.25">
      <c r="B20" s="727"/>
      <c r="D20" s="711" t="s">
        <v>615</v>
      </c>
      <c r="E20" s="711"/>
      <c r="F20" s="711"/>
      <c r="G20" s="397">
        <f>'BP VERSION JANVIER 2023'!G38</f>
        <v>65.25</v>
      </c>
      <c r="H20" s="6" t="s">
        <v>893</v>
      </c>
    </row>
    <row r="21" spans="2:9" s="6" customFormat="1" ht="13.8" x14ac:dyDescent="0.25">
      <c r="B21" s="727"/>
      <c r="D21" s="711" t="s">
        <v>616</v>
      </c>
      <c r="E21" s="711"/>
      <c r="F21" s="711"/>
      <c r="G21" s="397"/>
    </row>
    <row r="22" spans="2:9" s="6" customFormat="1" ht="13.8" x14ac:dyDescent="0.25">
      <c r="B22" s="727"/>
      <c r="D22" s="711" t="s">
        <v>617</v>
      </c>
      <c r="E22" s="711"/>
      <c r="F22" s="711"/>
      <c r="G22" s="397">
        <f>'BP VERSION JANVIER 2023'!F67</f>
        <v>96.74</v>
      </c>
    </row>
    <row r="23" spans="2:9" s="6" customFormat="1" ht="13.8" x14ac:dyDescent="0.25">
      <c r="B23" s="727"/>
      <c r="G23" s="404">
        <f>SUM(G18:G22)</f>
        <v>2665.73</v>
      </c>
      <c r="H23" s="397">
        <f>'BP VERSION JANVIER 2023'!J87</f>
        <v>2665.73</v>
      </c>
      <c r="I23" s="397">
        <f>'BP FORMAT JUILLET 2023'!J85</f>
        <v>2665.73</v>
      </c>
    </row>
    <row r="24" spans="2:9" s="6" customFormat="1" ht="13.8" x14ac:dyDescent="0.25">
      <c r="B24" s="405"/>
      <c r="G24" s="388"/>
    </row>
    <row r="25" spans="2:9" s="6" customFormat="1" ht="13.8" x14ac:dyDescent="0.25"/>
    <row r="26" spans="2:9" s="6" customFormat="1" ht="13.8" x14ac:dyDescent="0.25">
      <c r="B26" s="728" t="s">
        <v>618</v>
      </c>
      <c r="D26" s="711" t="s">
        <v>86</v>
      </c>
      <c r="E26" s="711"/>
      <c r="F26" s="711"/>
      <c r="G26" s="404">
        <f>'BP VERSION JANVIER 2023'!J87</f>
        <v>2665.73</v>
      </c>
    </row>
    <row r="27" spans="2:9" s="6" customFormat="1" ht="13.8" x14ac:dyDescent="0.25">
      <c r="B27" s="728"/>
      <c r="D27" s="711" t="s">
        <v>619</v>
      </c>
      <c r="E27" s="711"/>
      <c r="F27" s="711"/>
      <c r="G27" s="406"/>
    </row>
    <row r="28" spans="2:9" s="6" customFormat="1" ht="13.8" x14ac:dyDescent="0.25">
      <c r="B28" s="728"/>
      <c r="D28" s="711" t="s">
        <v>620</v>
      </c>
      <c r="E28" s="711"/>
      <c r="F28" s="711"/>
      <c r="G28" s="406"/>
    </row>
    <row r="29" spans="2:9" s="6" customFormat="1" ht="13.8" x14ac:dyDescent="0.25">
      <c r="B29" s="728"/>
      <c r="G29" s="404">
        <f>SUM(G26:G28)</f>
        <v>2665.73</v>
      </c>
      <c r="H29" s="397">
        <f>'BP VERSION JANVIER 2023'!D83</f>
        <v>2665.73</v>
      </c>
      <c r="I29" s="397">
        <f>'BP FORMAT JUILLET 2023'!D89</f>
        <v>2665.73</v>
      </c>
    </row>
    <row r="30" spans="2:9" s="6" customFormat="1" ht="13.8" x14ac:dyDescent="0.25"/>
    <row r="31" spans="2:9" s="6" customFormat="1" ht="14.25" customHeight="1" x14ac:dyDescent="0.25">
      <c r="B31" s="727" t="s">
        <v>621</v>
      </c>
    </row>
    <row r="32" spans="2:9" s="6" customFormat="1" ht="13.8" x14ac:dyDescent="0.25">
      <c r="B32" s="727"/>
      <c r="D32" s="711" t="s">
        <v>615</v>
      </c>
      <c r="E32" s="711"/>
      <c r="F32" s="711"/>
      <c r="G32" s="397">
        <f>'BP VERSION JANVIER 2023'!G38</f>
        <v>65.25</v>
      </c>
    </row>
    <row r="33" spans="2:9" s="6" customFormat="1" ht="13.8" x14ac:dyDescent="0.25">
      <c r="B33" s="727"/>
      <c r="D33" s="711" t="s">
        <v>622</v>
      </c>
      <c r="E33" s="711"/>
      <c r="F33" s="711"/>
      <c r="G33" s="397"/>
    </row>
    <row r="34" spans="2:9" s="6" customFormat="1" ht="13.8" x14ac:dyDescent="0.25">
      <c r="B34" s="727"/>
      <c r="D34" s="711" t="s">
        <v>623</v>
      </c>
      <c r="E34" s="711"/>
      <c r="F34" s="711"/>
      <c r="G34" s="397">
        <f>'BP VERSION JANVIER 2023'!G41</f>
        <v>65.25</v>
      </c>
    </row>
    <row r="35" spans="2:9" s="6" customFormat="1" ht="13.8" x14ac:dyDescent="0.25">
      <c r="G35" s="404">
        <f>SUM(G32:G34)</f>
        <v>130.5</v>
      </c>
      <c r="H35" s="406">
        <f>'BP VERSION JANVIER 2023'!C113</f>
        <v>130.5</v>
      </c>
      <c r="I35" s="406">
        <f>'BP FORMAT JUILLET 2023'!C127</f>
        <v>130.5</v>
      </c>
    </row>
    <row r="36" spans="2:9" s="6" customFormat="1" ht="13.8" x14ac:dyDescent="0.25">
      <c r="G36" s="388"/>
      <c r="H36" s="383"/>
      <c r="I36" s="383"/>
    </row>
    <row r="37" spans="2:9" s="6" customFormat="1" ht="14.25" customHeight="1" x14ac:dyDescent="0.25">
      <c r="B37" s="727" t="s">
        <v>624</v>
      </c>
      <c r="D37" s="711" t="s">
        <v>625</v>
      </c>
      <c r="E37" s="711"/>
      <c r="F37" s="711"/>
      <c r="G37" s="407">
        <f>0.9825*'BP VERSION JANVIER 2023'!J33</f>
        <v>3205.2097500000004</v>
      </c>
    </row>
    <row r="38" spans="2:9" s="6" customFormat="1" ht="13.8" x14ac:dyDescent="0.25">
      <c r="B38" s="727"/>
      <c r="D38" s="711" t="s">
        <v>626</v>
      </c>
      <c r="E38" s="711"/>
      <c r="F38" s="711"/>
      <c r="G38" s="407">
        <f>G32+G33</f>
        <v>65.25</v>
      </c>
    </row>
    <row r="39" spans="2:9" s="6" customFormat="1" ht="13.8" x14ac:dyDescent="0.25">
      <c r="B39" s="727"/>
      <c r="D39" s="711" t="s">
        <v>627</v>
      </c>
      <c r="E39" s="711"/>
      <c r="F39" s="711"/>
      <c r="G39" s="407">
        <f>G34</f>
        <v>65.25</v>
      </c>
    </row>
    <row r="40" spans="2:9" s="6" customFormat="1" ht="13.8" x14ac:dyDescent="0.25">
      <c r="B40" s="727"/>
      <c r="G40" s="408">
        <f>SUM(G37:G39)</f>
        <v>3335.7097500000004</v>
      </c>
      <c r="H40" s="397">
        <f>'BP VERSION JANVIER 2023'!C66</f>
        <v>3335.7097500000004</v>
      </c>
      <c r="I40" s="397">
        <f>'BP FORMAT JUILLET 2023'!C66</f>
        <v>3335.7097500000004</v>
      </c>
    </row>
    <row r="41" spans="2:9" s="6" customFormat="1" ht="13.8" x14ac:dyDescent="0.25"/>
    <row r="42" spans="2:9" ht="14.4" x14ac:dyDescent="0.3">
      <c r="B42" s="6"/>
      <c r="C42" s="399" t="s">
        <v>628</v>
      </c>
      <c r="D42" s="6"/>
      <c r="E42" s="399" t="s">
        <v>629</v>
      </c>
      <c r="F42" s="6"/>
      <c r="G42" s="184" t="s">
        <v>630</v>
      </c>
    </row>
    <row r="43" spans="2:9" s="6" customFormat="1" ht="13.8" x14ac:dyDescent="0.25">
      <c r="B43" s="6" t="s">
        <v>607</v>
      </c>
      <c r="C43" s="404">
        <f>H15</f>
        <v>3049.44</v>
      </c>
      <c r="E43" s="404">
        <f>I15</f>
        <v>3049.44</v>
      </c>
      <c r="G43" s="404">
        <f t="shared" ref="G43:G51" si="0">C43-E43</f>
        <v>0</v>
      </c>
    </row>
    <row r="44" spans="2:9" s="6" customFormat="1" ht="13.8" x14ac:dyDescent="0.25">
      <c r="B44" s="6" t="s">
        <v>86</v>
      </c>
      <c r="C44" s="404">
        <f>G23</f>
        <v>2665.73</v>
      </c>
      <c r="E44" s="404">
        <f>I23</f>
        <v>2665.73</v>
      </c>
      <c r="G44" s="404">
        <f t="shared" si="0"/>
        <v>0</v>
      </c>
    </row>
    <row r="45" spans="2:9" s="6" customFormat="1" ht="13.8" x14ac:dyDescent="0.25">
      <c r="B45" s="6" t="s">
        <v>618</v>
      </c>
      <c r="C45" s="404">
        <f>G29</f>
        <v>2665.73</v>
      </c>
      <c r="E45" s="408">
        <f>I29</f>
        <v>2665.73</v>
      </c>
      <c r="G45" s="404">
        <f t="shared" si="0"/>
        <v>0</v>
      </c>
    </row>
    <row r="46" spans="2:9" s="6" customFormat="1" ht="13.8" x14ac:dyDescent="0.25">
      <c r="B46" s="6" t="s">
        <v>631</v>
      </c>
      <c r="C46" s="404">
        <f>H35</f>
        <v>130.5</v>
      </c>
      <c r="E46" s="409">
        <f>I35</f>
        <v>130.5</v>
      </c>
      <c r="G46" s="404">
        <f t="shared" si="0"/>
        <v>0</v>
      </c>
    </row>
    <row r="47" spans="2:9" s="6" customFormat="1" ht="13.8" x14ac:dyDescent="0.25">
      <c r="B47" s="6" t="s">
        <v>632</v>
      </c>
      <c r="C47" s="406">
        <f>'BP VERSION JANVIER 2023'!F73</f>
        <v>758.56</v>
      </c>
      <c r="E47" s="397">
        <f>'BP FORMAT JUILLET 2023'!F73+'BP FORMAT JUILLET 2023'!F76</f>
        <v>758.56</v>
      </c>
      <c r="G47" s="404">
        <f t="shared" si="0"/>
        <v>0</v>
      </c>
    </row>
    <row r="48" spans="2:9" ht="14.4" x14ac:dyDescent="0.3">
      <c r="B48" s="6" t="s">
        <v>633</v>
      </c>
      <c r="C48" s="410">
        <f>'BP VERSION JANVIER 2023'!G73</f>
        <v>1299.4300000000003</v>
      </c>
      <c r="E48" s="410">
        <f>'BP FORMAT JUILLET 2023'!G73+'BP FORMAT JUILLET 2023'!G76</f>
        <v>1299.4300000000003</v>
      </c>
      <c r="G48" s="404">
        <f t="shared" si="0"/>
        <v>0</v>
      </c>
    </row>
    <row r="49" spans="2:7" ht="14.4" x14ac:dyDescent="0.3">
      <c r="B49" s="6" t="s">
        <v>634</v>
      </c>
      <c r="C49" s="411">
        <f>H40</f>
        <v>3335.7097500000004</v>
      </c>
      <c r="E49" s="411">
        <f>I40</f>
        <v>3335.7097500000004</v>
      </c>
      <c r="G49" s="404">
        <f t="shared" si="0"/>
        <v>0</v>
      </c>
    </row>
    <row r="50" spans="2:7" ht="14.4" x14ac:dyDescent="0.3">
      <c r="B50" s="6" t="s">
        <v>635</v>
      </c>
      <c r="C50" s="410">
        <f>'BP VERSION JANVIER 2023'!G71</f>
        <v>0</v>
      </c>
      <c r="E50" s="412">
        <f>'BP FORMAT JUILLET 2023'!G71</f>
        <v>0</v>
      </c>
      <c r="G50" s="404">
        <f t="shared" si="0"/>
        <v>0</v>
      </c>
    </row>
    <row r="51" spans="2:7" ht="14.4" x14ac:dyDescent="0.3">
      <c r="B51" s="6" t="s">
        <v>636</v>
      </c>
      <c r="C51" s="412">
        <f>'BP VERSION JANVIER 2023'!J85</f>
        <v>254.45940000000002</v>
      </c>
      <c r="E51" s="413">
        <f>'BP FORMAT JUILLET 2023'!J91</f>
        <v>254.45940000000002</v>
      </c>
      <c r="G51" s="404">
        <f t="shared" si="0"/>
        <v>0</v>
      </c>
    </row>
    <row r="54" spans="2:7" ht="14.4" x14ac:dyDescent="0.3">
      <c r="B54" s="6" t="s">
        <v>637</v>
      </c>
    </row>
    <row r="55" spans="2:7" ht="14.4" x14ac:dyDescent="0.3">
      <c r="B55" s="6" t="s">
        <v>638</v>
      </c>
    </row>
  </sheetData>
  <mergeCells count="25">
    <mergeCell ref="B4:B5"/>
    <mergeCell ref="B8:B15"/>
    <mergeCell ref="D8:F8"/>
    <mergeCell ref="D10:F10"/>
    <mergeCell ref="D11:F11"/>
    <mergeCell ref="D12:F12"/>
    <mergeCell ref="D14:F14"/>
    <mergeCell ref="B18:B23"/>
    <mergeCell ref="D18:F18"/>
    <mergeCell ref="D19:F19"/>
    <mergeCell ref="D20:F20"/>
    <mergeCell ref="D21:F21"/>
    <mergeCell ref="D22:F22"/>
    <mergeCell ref="B37:B40"/>
    <mergeCell ref="D37:F37"/>
    <mergeCell ref="D38:F38"/>
    <mergeCell ref="D39:F39"/>
    <mergeCell ref="B26:B29"/>
    <mergeCell ref="D26:F26"/>
    <mergeCell ref="D27:F27"/>
    <mergeCell ref="D28:F28"/>
    <mergeCell ref="B31:B34"/>
    <mergeCell ref="D32:F32"/>
    <mergeCell ref="D33:F33"/>
    <mergeCell ref="D34:F34"/>
  </mergeCells>
  <pageMargins left="0.51180555555555596" right="0.118055555555556" top="0" bottom="0" header="0.511811023622047" footer="0.511811023622047"/>
  <pageSetup paperSize="9" scale="70" orientation="landscape" horizontalDpi="300" verticalDpi="300"/>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90"/>
  <sheetViews>
    <sheetView topLeftCell="B5" zoomScaleNormal="100" workbookViewId="0">
      <selection activeCell="B5" sqref="B5:C5"/>
    </sheetView>
  </sheetViews>
  <sheetFormatPr baseColWidth="10" defaultColWidth="10.5546875" defaultRowHeight="14.25" customHeight="1" x14ac:dyDescent="0.3"/>
  <cols>
    <col min="1" max="1" width="4" hidden="1" customWidth="1"/>
    <col min="2" max="2" width="29" customWidth="1"/>
    <col min="3" max="3" width="19" customWidth="1"/>
    <col min="4" max="4" width="19" style="425" customWidth="1"/>
    <col min="5" max="5" width="19" style="426" customWidth="1"/>
    <col min="6" max="6" width="19" style="427" customWidth="1"/>
  </cols>
  <sheetData>
    <row r="1" spans="1:6" ht="48" customHeight="1" x14ac:dyDescent="0.3">
      <c r="B1" s="749" t="s">
        <v>650</v>
      </c>
      <c r="C1" s="749"/>
      <c r="D1" s="428" t="s">
        <v>651</v>
      </c>
      <c r="E1" s="429" t="s">
        <v>652</v>
      </c>
    </row>
    <row r="2" spans="1:6" ht="19.5" customHeight="1" x14ac:dyDescent="0.3">
      <c r="B2" s="750" t="s">
        <v>653</v>
      </c>
      <c r="C2" s="750"/>
      <c r="D2" s="428"/>
      <c r="E2" s="429"/>
    </row>
    <row r="3" spans="1:6" s="6" customFormat="1" ht="19.5" customHeight="1" x14ac:dyDescent="0.25">
      <c r="A3" s="430" t="s">
        <v>654</v>
      </c>
      <c r="B3" s="751" t="s">
        <v>460</v>
      </c>
      <c r="C3" s="751"/>
      <c r="D3" s="195"/>
      <c r="E3" s="195">
        <v>7.0000000000000007E-2</v>
      </c>
      <c r="F3" s="431"/>
    </row>
    <row r="4" spans="1:6" s="6" customFormat="1" ht="19.5" customHeight="1" x14ac:dyDescent="0.25">
      <c r="A4" s="430" t="s">
        <v>654</v>
      </c>
      <c r="B4" s="701" t="s">
        <v>392</v>
      </c>
      <c r="C4" s="701"/>
      <c r="D4" s="195"/>
      <c r="E4" s="195">
        <v>0.06</v>
      </c>
      <c r="F4" s="231"/>
    </row>
    <row r="5" spans="1:6" s="6" customFormat="1" ht="19.5" customHeight="1" x14ac:dyDescent="0.25">
      <c r="A5" s="430" t="s">
        <v>654</v>
      </c>
      <c r="B5" s="701" t="s">
        <v>217</v>
      </c>
      <c r="C5" s="701"/>
      <c r="D5" s="399"/>
      <c r="E5" s="399"/>
      <c r="F5" s="746"/>
    </row>
    <row r="6" spans="1:6" s="6" customFormat="1" ht="19.5" customHeight="1" x14ac:dyDescent="0.25">
      <c r="A6" s="430" t="s">
        <v>654</v>
      </c>
      <c r="B6" s="701" t="s">
        <v>393</v>
      </c>
      <c r="C6" s="701"/>
      <c r="D6" s="195"/>
      <c r="E6" s="195"/>
      <c r="F6" s="746"/>
    </row>
    <row r="7" spans="1:6" s="6" customFormat="1" ht="19.5" customHeight="1" x14ac:dyDescent="0.25">
      <c r="B7" s="737"/>
      <c r="C7" s="737"/>
      <c r="D7" s="737"/>
      <c r="E7" s="737"/>
      <c r="F7" s="432"/>
    </row>
    <row r="8" spans="1:6" s="6" customFormat="1" ht="19.5" customHeight="1" x14ac:dyDescent="0.25">
      <c r="B8" s="747" t="s">
        <v>398</v>
      </c>
      <c r="C8" s="747"/>
      <c r="D8" s="433"/>
      <c r="E8" s="434"/>
    </row>
    <row r="9" spans="1:6" s="6" customFormat="1" ht="19.5" customHeight="1" x14ac:dyDescent="0.25">
      <c r="B9" s="748" t="s">
        <v>655</v>
      </c>
      <c r="C9" s="748"/>
      <c r="D9" s="435"/>
      <c r="E9" s="435"/>
    </row>
    <row r="10" spans="1:6" s="6" customFormat="1" ht="19.5" customHeight="1" x14ac:dyDescent="0.25">
      <c r="B10" s="653" t="s">
        <v>463</v>
      </c>
      <c r="C10" s="653"/>
      <c r="D10" s="436"/>
      <c r="E10" s="437">
        <v>3.4500000000000003E-2</v>
      </c>
    </row>
    <row r="11" spans="1:6" s="6" customFormat="1" ht="19.5" customHeight="1" x14ac:dyDescent="0.25">
      <c r="B11" s="691" t="s">
        <v>406</v>
      </c>
      <c r="C11" s="691"/>
      <c r="D11" s="436"/>
      <c r="E11" s="438">
        <v>1.7999999999999999E-2</v>
      </c>
    </row>
    <row r="12" spans="1:6" s="6" customFormat="1" ht="19.5" customHeight="1" x14ac:dyDescent="0.25">
      <c r="B12" s="745" t="s">
        <v>656</v>
      </c>
      <c r="C12" s="745"/>
      <c r="D12" s="439"/>
      <c r="E12" s="440"/>
    </row>
    <row r="13" spans="1:6" s="6" customFormat="1" ht="19.5" customHeight="1" x14ac:dyDescent="0.25">
      <c r="B13" s="693" t="s">
        <v>408</v>
      </c>
      <c r="C13" s="693"/>
      <c r="D13" s="441"/>
      <c r="E13" s="441">
        <v>4.0500000000000001E-2</v>
      </c>
    </row>
    <row r="14" spans="1:6" s="6" customFormat="1" ht="19.5" customHeight="1" x14ac:dyDescent="0.25">
      <c r="B14" s="693" t="s">
        <v>657</v>
      </c>
      <c r="C14" s="693"/>
      <c r="D14" s="441"/>
      <c r="E14" s="441">
        <v>2.5000000000000001E-3</v>
      </c>
    </row>
    <row r="15" spans="1:6" s="6" customFormat="1" ht="19.5" customHeight="1" x14ac:dyDescent="0.25">
      <c r="B15" s="740" t="s">
        <v>409</v>
      </c>
      <c r="C15" s="740"/>
      <c r="D15" s="441">
        <v>2.4000000000000001E-4</v>
      </c>
      <c r="E15" s="442">
        <v>3.6000000000000002E-4</v>
      </c>
    </row>
    <row r="16" spans="1:6" s="6" customFormat="1" ht="19.5" customHeight="1" x14ac:dyDescent="0.25">
      <c r="B16" s="744" t="s">
        <v>399</v>
      </c>
      <c r="C16" s="744"/>
      <c r="D16" s="744"/>
      <c r="E16" s="744"/>
    </row>
    <row r="17" spans="1:6" s="6" customFormat="1" ht="19.5" customHeight="1" x14ac:dyDescent="0.25">
      <c r="B17" s="731" t="s">
        <v>400</v>
      </c>
      <c r="C17" s="731"/>
      <c r="D17" s="437">
        <v>6.9000000000000006E-2</v>
      </c>
      <c r="E17" s="437">
        <v>8.5500000000000007E-2</v>
      </c>
    </row>
    <row r="18" spans="1:6" s="6" customFormat="1" ht="19.5" customHeight="1" x14ac:dyDescent="0.25">
      <c r="B18" s="731" t="s">
        <v>401</v>
      </c>
      <c r="C18" s="731"/>
      <c r="D18" s="437">
        <v>4.0000000000000001E-3</v>
      </c>
      <c r="E18" s="444">
        <v>2.0199999999999999E-2</v>
      </c>
    </row>
    <row r="19" spans="1:6" s="6" customFormat="1" ht="19.5" customHeight="1" x14ac:dyDescent="0.25">
      <c r="B19" s="731" t="s">
        <v>402</v>
      </c>
      <c r="C19" s="731"/>
      <c r="D19" s="437">
        <v>3.15E-2</v>
      </c>
      <c r="E19" s="437">
        <v>4.7199999999999999E-2</v>
      </c>
    </row>
    <row r="20" spans="1:6" s="6" customFormat="1" ht="19.5" customHeight="1" x14ac:dyDescent="0.25">
      <c r="B20" s="731" t="s">
        <v>403</v>
      </c>
      <c r="C20" s="731"/>
      <c r="D20" s="437">
        <v>8.6400000000000005E-2</v>
      </c>
      <c r="E20" s="437">
        <v>0.1295</v>
      </c>
    </row>
    <row r="21" spans="1:6" s="6" customFormat="1" ht="19.5" customHeight="1" x14ac:dyDescent="0.25">
      <c r="B21" s="731" t="s">
        <v>658</v>
      </c>
      <c r="C21" s="731"/>
      <c r="D21" s="437">
        <v>8.6E-3</v>
      </c>
      <c r="E21" s="437">
        <v>1.29E-2</v>
      </c>
    </row>
    <row r="22" spans="1:6" s="6" customFormat="1" ht="19.5" customHeight="1" x14ac:dyDescent="0.25">
      <c r="B22" s="731" t="s">
        <v>659</v>
      </c>
      <c r="C22" s="731"/>
      <c r="D22" s="437">
        <v>1.0800000000000001E-2</v>
      </c>
      <c r="E22" s="437">
        <v>1.6199999999999999E-2</v>
      </c>
    </row>
    <row r="23" spans="1:6" s="6" customFormat="1" ht="19.5" customHeight="1" x14ac:dyDescent="0.25">
      <c r="B23" s="731" t="s">
        <v>660</v>
      </c>
      <c r="C23" s="731"/>
      <c r="D23" s="437">
        <v>1.4E-3</v>
      </c>
      <c r="E23" s="437">
        <v>2.0999999999999999E-3</v>
      </c>
    </row>
    <row r="24" spans="1:6" s="6" customFormat="1" ht="19.5" customHeight="1" x14ac:dyDescent="0.25">
      <c r="B24" s="731" t="s">
        <v>661</v>
      </c>
      <c r="C24" s="731"/>
      <c r="D24" s="437">
        <v>1.4E-3</v>
      </c>
      <c r="E24" s="437">
        <v>2.0999999999999999E-3</v>
      </c>
    </row>
    <row r="25" spans="1:6" s="6" customFormat="1" ht="19.5" customHeight="1" x14ac:dyDescent="0.25">
      <c r="B25" s="445"/>
      <c r="C25" s="446"/>
      <c r="D25" s="439"/>
      <c r="E25" s="440"/>
      <c r="F25" s="432"/>
    </row>
    <row r="26" spans="1:6" s="6" customFormat="1" ht="19.5" customHeight="1" x14ac:dyDescent="0.25">
      <c r="B26" s="731" t="s">
        <v>662</v>
      </c>
      <c r="C26" s="731"/>
      <c r="D26" s="436"/>
      <c r="E26" s="437">
        <v>1E-3</v>
      </c>
      <c r="F26" s="432"/>
    </row>
    <row r="27" spans="1:6" s="6" customFormat="1" ht="19.5" customHeight="1" x14ac:dyDescent="0.25">
      <c r="B27" s="743" t="s">
        <v>663</v>
      </c>
      <c r="C27" s="743"/>
      <c r="D27" s="436"/>
      <c r="E27" s="437">
        <v>5.0000000000000001E-3</v>
      </c>
      <c r="F27" s="432"/>
    </row>
    <row r="28" spans="1:6" s="6" customFormat="1" ht="19.5" customHeight="1" x14ac:dyDescent="0.25">
      <c r="B28" s="743" t="s">
        <v>664</v>
      </c>
      <c r="C28" s="743"/>
      <c r="D28" s="436"/>
      <c r="E28" s="437">
        <v>3.2000000000000001E-2</v>
      </c>
      <c r="F28" s="432" t="s">
        <v>665</v>
      </c>
    </row>
    <row r="29" spans="1:6" s="6" customFormat="1" ht="19.5" customHeight="1" x14ac:dyDescent="0.25">
      <c r="B29" s="731" t="s">
        <v>447</v>
      </c>
      <c r="C29" s="731"/>
      <c r="D29" s="436"/>
      <c r="E29" s="437">
        <v>3.0000000000000001E-3</v>
      </c>
      <c r="F29" s="432"/>
    </row>
    <row r="30" spans="1:6" s="6" customFormat="1" ht="19.5" customHeight="1" x14ac:dyDescent="0.25">
      <c r="B30" s="731" t="s">
        <v>666</v>
      </c>
      <c r="C30" s="731"/>
      <c r="D30" s="436"/>
      <c r="E30" s="437">
        <v>0.08</v>
      </c>
      <c r="F30" s="432"/>
    </row>
    <row r="31" spans="1:6" s="6" customFormat="1" ht="19.5" customHeight="1" x14ac:dyDescent="0.25">
      <c r="B31" s="443" t="s">
        <v>449</v>
      </c>
      <c r="C31" s="443"/>
      <c r="D31" s="436"/>
      <c r="E31" s="437">
        <v>0.2</v>
      </c>
      <c r="F31" s="432"/>
    </row>
    <row r="32" spans="1:6" s="6" customFormat="1" ht="15.6" x14ac:dyDescent="0.25">
      <c r="A32" s="430" t="s">
        <v>667</v>
      </c>
      <c r="B32" s="731" t="s">
        <v>450</v>
      </c>
      <c r="C32" s="731"/>
      <c r="D32" s="436"/>
      <c r="E32" s="441">
        <v>1.6000000000000001E-4</v>
      </c>
      <c r="F32" s="431"/>
    </row>
    <row r="33" spans="1:6" s="6" customFormat="1" ht="15.6" x14ac:dyDescent="0.25">
      <c r="A33" s="430" t="s">
        <v>667</v>
      </c>
      <c r="B33" s="731" t="s">
        <v>451</v>
      </c>
      <c r="C33" s="731"/>
      <c r="D33" s="447"/>
      <c r="E33" s="437">
        <v>6.7999999999999996E-3</v>
      </c>
      <c r="F33" s="431"/>
    </row>
    <row r="34" spans="1:6" s="6" customFormat="1" ht="15" customHeight="1" x14ac:dyDescent="0.25">
      <c r="A34" s="430" t="s">
        <v>667</v>
      </c>
      <c r="B34" s="731" t="s">
        <v>668</v>
      </c>
      <c r="C34" s="731"/>
      <c r="D34" s="447"/>
      <c r="E34" s="437">
        <v>0.01</v>
      </c>
      <c r="F34" s="448"/>
    </row>
    <row r="35" spans="1:6" s="6" customFormat="1" ht="15" customHeight="1" x14ac:dyDescent="0.25">
      <c r="A35" s="430" t="s">
        <v>667</v>
      </c>
      <c r="B35" s="731" t="s">
        <v>668</v>
      </c>
      <c r="C35" s="731"/>
      <c r="D35" s="447"/>
      <c r="E35" s="437">
        <v>5.4999999999999997E-3</v>
      </c>
      <c r="F35" s="448"/>
    </row>
    <row r="36" spans="1:6" s="6" customFormat="1" ht="15" customHeight="1" x14ac:dyDescent="0.25">
      <c r="A36" s="430" t="s">
        <v>667</v>
      </c>
      <c r="B36" s="731" t="s">
        <v>453</v>
      </c>
      <c r="C36" s="731"/>
      <c r="D36" s="447"/>
      <c r="E36" s="437">
        <v>4.4999999999999997E-3</v>
      </c>
      <c r="F36" s="449"/>
    </row>
    <row r="37" spans="1:6" s="6" customFormat="1" ht="15" customHeight="1" x14ac:dyDescent="0.25">
      <c r="A37" s="430" t="s">
        <v>667</v>
      </c>
      <c r="B37" s="741"/>
      <c r="C37" s="741"/>
      <c r="D37" s="439"/>
      <c r="E37" s="440"/>
      <c r="F37" s="449"/>
    </row>
    <row r="38" spans="1:6" s="6" customFormat="1" ht="15" customHeight="1" x14ac:dyDescent="0.25">
      <c r="A38" s="430" t="s">
        <v>667</v>
      </c>
      <c r="B38" s="734" t="s">
        <v>412</v>
      </c>
      <c r="C38" s="734"/>
      <c r="D38" s="450">
        <v>6.8000000000000005E-2</v>
      </c>
      <c r="E38" s="451"/>
      <c r="F38" s="452"/>
    </row>
    <row r="39" spans="1:6" s="6" customFormat="1" ht="15.75" customHeight="1" x14ac:dyDescent="0.25">
      <c r="A39" s="430" t="s">
        <v>667</v>
      </c>
      <c r="B39" s="742" t="s">
        <v>413</v>
      </c>
      <c r="C39" s="742"/>
      <c r="D39" s="450">
        <v>2.9000000000000001E-2</v>
      </c>
      <c r="E39" s="451"/>
      <c r="F39" s="431"/>
    </row>
    <row r="40" spans="1:6" s="6" customFormat="1" ht="15.75" customHeight="1" x14ac:dyDescent="0.25">
      <c r="B40" s="734" t="s">
        <v>273</v>
      </c>
      <c r="C40" s="734"/>
      <c r="D40" s="450">
        <v>6.8000000000000005E-2</v>
      </c>
      <c r="E40" s="451"/>
      <c r="F40" s="431"/>
    </row>
    <row r="41" spans="1:6" s="6" customFormat="1" ht="15" customHeight="1" x14ac:dyDescent="0.25">
      <c r="A41" s="6" t="s">
        <v>669</v>
      </c>
      <c r="B41" s="734" t="s">
        <v>275</v>
      </c>
      <c r="C41" s="734"/>
      <c r="D41" s="450">
        <v>6.8000000000000005E-2</v>
      </c>
      <c r="E41" s="451"/>
    </row>
    <row r="42" spans="1:6" s="6" customFormat="1" ht="15" customHeight="1" x14ac:dyDescent="0.25">
      <c r="A42" s="6" t="s">
        <v>669</v>
      </c>
      <c r="B42" s="734" t="s">
        <v>277</v>
      </c>
      <c r="C42" s="734"/>
      <c r="D42" s="450">
        <v>2.9000000000000001E-2</v>
      </c>
      <c r="E42" s="451"/>
    </row>
    <row r="43" spans="1:6" s="6" customFormat="1" ht="10.5" customHeight="1" x14ac:dyDescent="0.25">
      <c r="A43" s="6" t="s">
        <v>669</v>
      </c>
      <c r="B43" s="738"/>
      <c r="C43" s="738"/>
      <c r="D43" s="738"/>
      <c r="E43" s="738"/>
      <c r="F43" s="453"/>
    </row>
    <row r="44" spans="1:6" s="6" customFormat="1" ht="15" customHeight="1" x14ac:dyDescent="0.25">
      <c r="A44" s="6" t="s">
        <v>669</v>
      </c>
      <c r="B44" s="739" t="s">
        <v>670</v>
      </c>
      <c r="C44" s="739"/>
      <c r="D44" s="454"/>
      <c r="E44" s="455"/>
      <c r="F44" s="431"/>
    </row>
    <row r="45" spans="1:6" s="6" customFormat="1" ht="15" customHeight="1" x14ac:dyDescent="0.25">
      <c r="A45" s="6" t="s">
        <v>669</v>
      </c>
      <c r="B45" s="740" t="s">
        <v>395</v>
      </c>
      <c r="C45" s="740"/>
      <c r="D45" s="450"/>
      <c r="E45" s="450"/>
      <c r="F45" s="456"/>
    </row>
    <row r="46" spans="1:6" s="6" customFormat="1" ht="15" customHeight="1" x14ac:dyDescent="0.25">
      <c r="B46" s="740" t="s">
        <v>394</v>
      </c>
      <c r="C46" s="740"/>
      <c r="D46" s="450"/>
      <c r="E46" s="450"/>
      <c r="F46" s="456"/>
    </row>
    <row r="47" spans="1:6" s="6" customFormat="1" ht="15" customHeight="1" x14ac:dyDescent="0.25">
      <c r="B47" s="648" t="s">
        <v>396</v>
      </c>
      <c r="C47" s="648"/>
      <c r="D47" s="450"/>
      <c r="E47" s="450">
        <v>1.4999999999999999E-2</v>
      </c>
      <c r="F47" s="456"/>
    </row>
    <row r="48" spans="1:6" s="6" customFormat="1" ht="15" customHeight="1" x14ac:dyDescent="0.25">
      <c r="A48" s="6" t="s">
        <v>669</v>
      </c>
      <c r="B48" s="734" t="s">
        <v>461</v>
      </c>
      <c r="C48" s="734"/>
      <c r="D48" s="454"/>
      <c r="E48" s="457"/>
      <c r="F48" s="431"/>
    </row>
    <row r="49" spans="1:7" s="6" customFormat="1" ht="15" customHeight="1" x14ac:dyDescent="0.25">
      <c r="A49" s="6" t="s">
        <v>669</v>
      </c>
      <c r="B49" s="734" t="s">
        <v>462</v>
      </c>
      <c r="C49" s="734"/>
      <c r="D49" s="454"/>
      <c r="E49" s="457"/>
      <c r="F49" s="431"/>
    </row>
    <row r="50" spans="1:7" s="6" customFormat="1" ht="8.25" customHeight="1" x14ac:dyDescent="0.25">
      <c r="A50" s="6" t="s">
        <v>669</v>
      </c>
      <c r="B50" s="737"/>
      <c r="C50" s="737"/>
      <c r="D50" s="737"/>
      <c r="E50" s="737"/>
      <c r="F50" s="431"/>
    </row>
    <row r="51" spans="1:7" s="6" customFormat="1" ht="15" customHeight="1" x14ac:dyDescent="0.25">
      <c r="A51" s="6" t="s">
        <v>669</v>
      </c>
      <c r="B51" s="736" t="s">
        <v>671</v>
      </c>
      <c r="C51" s="736"/>
      <c r="D51" s="458">
        <v>3925</v>
      </c>
      <c r="E51" s="459"/>
      <c r="F51" s="431"/>
    </row>
    <row r="52" spans="1:7" s="6" customFormat="1" ht="13.8" x14ac:dyDescent="0.25">
      <c r="B52" s="736" t="s">
        <v>672</v>
      </c>
      <c r="C52" s="736"/>
      <c r="D52" s="460">
        <v>11.65</v>
      </c>
      <c r="E52" s="192"/>
      <c r="F52" s="431"/>
    </row>
    <row r="53" spans="1:7" s="6" customFormat="1" ht="13.8" x14ac:dyDescent="0.25">
      <c r="B53" s="736" t="s">
        <v>673</v>
      </c>
      <c r="C53" s="736"/>
      <c r="D53" s="460">
        <v>11.88</v>
      </c>
      <c r="E53" s="192"/>
      <c r="F53" s="431"/>
    </row>
    <row r="54" spans="1:7" s="6" customFormat="1" ht="13.8" x14ac:dyDescent="0.25">
      <c r="B54" s="461" t="s">
        <v>674</v>
      </c>
      <c r="C54" s="462"/>
      <c r="D54" s="458">
        <v>11.88</v>
      </c>
      <c r="E54" s="192"/>
      <c r="F54" s="431"/>
    </row>
    <row r="55" spans="1:7" s="6" customFormat="1" ht="13.8" x14ac:dyDescent="0.25">
      <c r="B55" s="736" t="s">
        <v>675</v>
      </c>
      <c r="C55" s="736"/>
      <c r="D55" s="463"/>
      <c r="E55" s="192"/>
      <c r="F55" s="431"/>
    </row>
    <row r="56" spans="1:7" s="6" customFormat="1" ht="13.8" x14ac:dyDescent="0.25">
      <c r="B56" s="736" t="s">
        <v>675</v>
      </c>
      <c r="C56" s="736"/>
      <c r="D56" s="463"/>
      <c r="E56" s="192"/>
      <c r="F56" s="431"/>
    </row>
    <row r="57" spans="1:7" s="6" customFormat="1" ht="13.8" x14ac:dyDescent="0.25">
      <c r="B57" s="461" t="s">
        <v>676</v>
      </c>
      <c r="C57" s="462"/>
      <c r="D57" s="463">
        <f>D54*35*52/12</f>
        <v>1801.8000000000002</v>
      </c>
      <c r="E57" s="192"/>
      <c r="F57" s="431"/>
    </row>
    <row r="58" spans="1:7" s="6" customFormat="1" ht="13.8" x14ac:dyDescent="0.25">
      <c r="B58" s="736" t="s">
        <v>677</v>
      </c>
      <c r="C58" s="736"/>
      <c r="D58" s="460">
        <f>1.6*D54*35*52/12</f>
        <v>2882.8800000000006</v>
      </c>
      <c r="E58" s="192"/>
      <c r="F58" s="431"/>
    </row>
    <row r="59" spans="1:7" s="6" customFormat="1" ht="14.25" customHeight="1" x14ac:dyDescent="0.25">
      <c r="B59" s="734" t="s">
        <v>678</v>
      </c>
      <c r="C59" s="734"/>
      <c r="D59" s="464">
        <f>2.25*D54*35*52/12</f>
        <v>4054.0500000000006</v>
      </c>
      <c r="E59" s="195"/>
      <c r="F59" s="431" t="s">
        <v>679</v>
      </c>
      <c r="G59" s="465">
        <f>ROUND(2.25*D54*151.67,2)</f>
        <v>4054.14</v>
      </c>
    </row>
    <row r="60" spans="1:7" s="6" customFormat="1" ht="14.25" customHeight="1" x14ac:dyDescent="0.25">
      <c r="B60" s="734" t="s">
        <v>680</v>
      </c>
      <c r="C60" s="734"/>
      <c r="D60" s="464">
        <f>3.3*D54*35*52/12</f>
        <v>5945.94</v>
      </c>
      <c r="E60" s="195"/>
      <c r="F60" s="431"/>
      <c r="G60" s="465">
        <f>ROUND(3.3*D54*151.67,2)</f>
        <v>5946.07</v>
      </c>
    </row>
    <row r="61" spans="1:7" s="6" customFormat="1" ht="31.5" customHeight="1" x14ac:dyDescent="0.25">
      <c r="B61" s="693" t="s">
        <v>681</v>
      </c>
      <c r="C61" s="693"/>
      <c r="D61" s="466">
        <v>0.31940000000000002</v>
      </c>
      <c r="E61" s="467">
        <v>0.32340000000000002</v>
      </c>
    </row>
    <row r="62" spans="1:7" s="6" customFormat="1" ht="15" customHeight="1" x14ac:dyDescent="0.25">
      <c r="A62" s="735" t="s">
        <v>682</v>
      </c>
      <c r="B62" s="735"/>
      <c r="C62" s="735"/>
      <c r="D62" s="735"/>
      <c r="E62" s="735"/>
      <c r="F62" s="468"/>
    </row>
    <row r="63" spans="1:7" s="6" customFormat="1" ht="23.25" customHeight="1" x14ac:dyDescent="0.25">
      <c r="B63" s="693" t="s">
        <v>683</v>
      </c>
      <c r="C63" s="693"/>
      <c r="D63" s="469"/>
      <c r="E63" s="470" t="s">
        <v>684</v>
      </c>
      <c r="F63" s="448"/>
    </row>
    <row r="64" spans="1:7" s="6" customFormat="1" ht="17.25" customHeight="1" x14ac:dyDescent="0.25">
      <c r="B64" s="693" t="s">
        <v>685</v>
      </c>
      <c r="C64" s="693"/>
      <c r="D64" s="469"/>
      <c r="E64" s="470" t="s">
        <v>686</v>
      </c>
      <c r="F64" s="448"/>
    </row>
    <row r="65" spans="1:6" s="6" customFormat="1" ht="18" customHeight="1" x14ac:dyDescent="0.25">
      <c r="B65" s="731" t="s">
        <v>687</v>
      </c>
      <c r="C65" s="731"/>
      <c r="D65" s="471">
        <v>7.26</v>
      </c>
      <c r="E65" s="472"/>
      <c r="F65" s="473"/>
    </row>
    <row r="66" spans="1:6" s="6" customFormat="1" ht="15" customHeight="1" x14ac:dyDescent="0.25">
      <c r="B66" s="731" t="s">
        <v>688</v>
      </c>
      <c r="C66" s="731"/>
      <c r="D66" s="471">
        <v>88.8</v>
      </c>
      <c r="E66" s="472"/>
      <c r="F66" s="473"/>
    </row>
    <row r="67" spans="1:6" s="6" customFormat="1" ht="35.25" customHeight="1" x14ac:dyDescent="0.25">
      <c r="B67" s="8"/>
      <c r="D67" s="474"/>
      <c r="E67" s="475"/>
      <c r="F67" s="431"/>
    </row>
    <row r="68" spans="1:6" s="6" customFormat="1" ht="18.75" customHeight="1" x14ac:dyDescent="0.25">
      <c r="B68" s="476"/>
      <c r="C68" s="732" t="s">
        <v>689</v>
      </c>
      <c r="D68" s="732"/>
      <c r="E68" s="733" t="s">
        <v>690</v>
      </c>
      <c r="F68" s="733"/>
    </row>
    <row r="69" spans="1:6" s="6" customFormat="1" ht="18.75" customHeight="1" x14ac:dyDescent="0.25">
      <c r="B69" s="476"/>
      <c r="C69" s="477" t="s">
        <v>691</v>
      </c>
      <c r="D69" s="477" t="s">
        <v>214</v>
      </c>
      <c r="E69" s="477" t="s">
        <v>691</v>
      </c>
      <c r="F69" s="477" t="s">
        <v>214</v>
      </c>
    </row>
    <row r="70" spans="1:6" s="6" customFormat="1" ht="18.75" customHeight="1" x14ac:dyDescent="0.25">
      <c r="B70" s="478" t="s">
        <v>402</v>
      </c>
      <c r="C70" s="479">
        <v>3.15E-2</v>
      </c>
      <c r="D70" s="480">
        <v>4.7199999999999999E-2</v>
      </c>
      <c r="E70" s="479">
        <v>3.15E-2</v>
      </c>
      <c r="F70" s="480">
        <v>4.7199999999999999E-2</v>
      </c>
    </row>
    <row r="71" spans="1:6" s="6" customFormat="1" ht="18.75" customHeight="1" x14ac:dyDescent="0.25">
      <c r="B71" s="478" t="s">
        <v>692</v>
      </c>
      <c r="C71" s="479">
        <v>8.6E-3</v>
      </c>
      <c r="D71" s="479">
        <v>1.29E-2</v>
      </c>
      <c r="E71" s="479">
        <v>8.6E-3</v>
      </c>
      <c r="F71" s="479">
        <v>1.29E-2</v>
      </c>
    </row>
    <row r="72" spans="1:6" s="6" customFormat="1" ht="18.75" customHeight="1" x14ac:dyDescent="0.25">
      <c r="B72" s="478" t="s">
        <v>693</v>
      </c>
      <c r="C72" s="416"/>
      <c r="D72" s="481"/>
      <c r="E72" s="479">
        <v>1.4E-3</v>
      </c>
      <c r="F72" s="479">
        <v>2.0999999999999999E-3</v>
      </c>
    </row>
    <row r="73" spans="1:6" s="6" customFormat="1" ht="35.25" customHeight="1" x14ac:dyDescent="0.25">
      <c r="B73" s="482" t="s">
        <v>694</v>
      </c>
      <c r="C73" s="483">
        <f>+C70+C71</f>
        <v>4.0099999999999997E-2</v>
      </c>
      <c r="D73" s="483">
        <f>+D70+D71</f>
        <v>6.0100000000000001E-2</v>
      </c>
      <c r="E73" s="483">
        <f>SUM(E70:E72)</f>
        <v>4.1499999999999995E-2</v>
      </c>
      <c r="F73" s="483">
        <f>SUM(F70:F72)</f>
        <v>6.2199999999999998E-2</v>
      </c>
    </row>
    <row r="74" spans="1:6" s="6" customFormat="1" ht="27" customHeight="1" x14ac:dyDescent="0.25">
      <c r="B74" s="484"/>
      <c r="C74" s="485"/>
      <c r="D74" s="485"/>
      <c r="E74" s="485"/>
      <c r="F74" s="485"/>
    </row>
    <row r="75" spans="1:6" s="6" customFormat="1" ht="18.75" customHeight="1" x14ac:dyDescent="0.25">
      <c r="B75" s="476"/>
      <c r="C75" s="476"/>
      <c r="D75" s="486"/>
      <c r="E75" s="477" t="s">
        <v>213</v>
      </c>
      <c r="F75" s="482" t="s">
        <v>214</v>
      </c>
    </row>
    <row r="76" spans="1:6" s="6" customFormat="1" ht="18.75" customHeight="1" x14ac:dyDescent="0.25">
      <c r="B76" s="478" t="s">
        <v>403</v>
      </c>
      <c r="C76" s="476"/>
      <c r="D76" s="486"/>
      <c r="E76" s="479">
        <v>8.6400000000000005E-2</v>
      </c>
      <c r="F76" s="479">
        <v>0.1295</v>
      </c>
    </row>
    <row r="77" spans="1:6" s="6" customFormat="1" ht="18.75" customHeight="1" x14ac:dyDescent="0.25">
      <c r="B77" s="478" t="s">
        <v>695</v>
      </c>
      <c r="C77" s="476"/>
      <c r="D77" s="486"/>
      <c r="E77" s="479">
        <v>1.0800000000000001E-2</v>
      </c>
      <c r="F77" s="479">
        <v>1.6199999999999999E-2</v>
      </c>
    </row>
    <row r="78" spans="1:6" s="6" customFormat="1" ht="18.75" customHeight="1" x14ac:dyDescent="0.25">
      <c r="B78" s="478" t="s">
        <v>696</v>
      </c>
      <c r="C78" s="476"/>
      <c r="D78" s="486"/>
      <c r="E78" s="479">
        <v>1.4E-3</v>
      </c>
      <c r="F78" s="479">
        <v>2.0999999999999999E-3</v>
      </c>
    </row>
    <row r="79" spans="1:6" s="6" customFormat="1" ht="33" customHeight="1" x14ac:dyDescent="0.25">
      <c r="B79" s="482" t="s">
        <v>697</v>
      </c>
      <c r="C79" s="476"/>
      <c r="D79" s="486"/>
      <c r="E79" s="483">
        <f>SUM(E76:E78)</f>
        <v>9.8600000000000007E-2</v>
      </c>
      <c r="F79" s="483">
        <f>SUM(F76:F78)</f>
        <v>0.14779999999999999</v>
      </c>
    </row>
    <row r="80" spans="1:6" s="6" customFormat="1" ht="35.25" customHeight="1" x14ac:dyDescent="0.3">
      <c r="A80" s="9"/>
      <c r="B80" s="9"/>
      <c r="D80" s="487"/>
      <c r="E80" s="488"/>
      <c r="F80" s="9"/>
    </row>
    <row r="81" spans="2:9" s="6" customFormat="1" ht="35.25" customHeight="1" x14ac:dyDescent="0.25">
      <c r="D81" s="489"/>
      <c r="E81" s="475"/>
      <c r="F81" s="431"/>
    </row>
    <row r="82" spans="2:9" s="6" customFormat="1" ht="35.25" customHeight="1" x14ac:dyDescent="0.25">
      <c r="B82" s="718" t="s">
        <v>698</v>
      </c>
      <c r="C82" s="718"/>
      <c r="D82" s="718"/>
      <c r="E82" s="718"/>
      <c r="F82" s="431"/>
    </row>
    <row r="83" spans="2:9" s="6" customFormat="1" ht="42" customHeight="1" x14ac:dyDescent="0.25">
      <c r="B83" s="720" t="s">
        <v>699</v>
      </c>
      <c r="C83" s="720"/>
      <c r="D83" s="277" t="s">
        <v>700</v>
      </c>
      <c r="E83" s="277" t="s">
        <v>701</v>
      </c>
      <c r="F83" s="431"/>
    </row>
    <row r="84" spans="2:9" s="6" customFormat="1" ht="35.25" customHeight="1" x14ac:dyDescent="0.25">
      <c r="B84" s="718" t="s">
        <v>702</v>
      </c>
      <c r="C84" s="718"/>
      <c r="D84" s="490" t="s">
        <v>703</v>
      </c>
      <c r="E84" s="491">
        <v>3.2000000000000001E-2</v>
      </c>
      <c r="F84" s="431"/>
      <c r="I84" s="6">
        <f>50%*2522.52*3/91.25</f>
        <v>41.466082191780821</v>
      </c>
    </row>
    <row r="85" spans="2:9" s="6" customFormat="1" ht="35.25" customHeight="1" x14ac:dyDescent="0.25">
      <c r="B85" s="718" t="s">
        <v>704</v>
      </c>
      <c r="C85" s="718"/>
      <c r="D85" s="490" t="s">
        <v>703</v>
      </c>
      <c r="E85" s="491">
        <v>3.2000000000000001E-2</v>
      </c>
      <c r="F85" s="431"/>
    </row>
    <row r="86" spans="2:9" ht="47.25" customHeight="1" x14ac:dyDescent="0.3">
      <c r="B86" s="718" t="s">
        <v>705</v>
      </c>
      <c r="C86" s="718"/>
      <c r="D86" s="490" t="s">
        <v>706</v>
      </c>
      <c r="E86" s="490" t="s">
        <v>706</v>
      </c>
    </row>
    <row r="87" spans="2:9" ht="35.25" customHeight="1" x14ac:dyDescent="0.3">
      <c r="B87" s="730"/>
      <c r="C87" s="730"/>
      <c r="D87" s="492"/>
    </row>
    <row r="88" spans="2:9" ht="35.25" customHeight="1" x14ac:dyDescent="0.3">
      <c r="B88" t="s">
        <v>707</v>
      </c>
    </row>
    <row r="89" spans="2:9" ht="35.25" customHeight="1" x14ac:dyDescent="0.3">
      <c r="B89" s="6" t="s">
        <v>708</v>
      </c>
    </row>
    <row r="90" spans="2:9" ht="35.25" customHeight="1" x14ac:dyDescent="0.3">
      <c r="C90" s="6"/>
      <c r="D90" s="474"/>
    </row>
  </sheetData>
  <mergeCells count="71">
    <mergeCell ref="B1:C1"/>
    <mergeCell ref="B2:C2"/>
    <mergeCell ref="B3:C3"/>
    <mergeCell ref="B4:C4"/>
    <mergeCell ref="B5:C5"/>
    <mergeCell ref="F5:F6"/>
    <mergeCell ref="B6:C6"/>
    <mergeCell ref="B7:E7"/>
    <mergeCell ref="B8:C8"/>
    <mergeCell ref="B9:C9"/>
    <mergeCell ref="B10:C10"/>
    <mergeCell ref="B11:C11"/>
    <mergeCell ref="B12:C12"/>
    <mergeCell ref="B13:C13"/>
    <mergeCell ref="B14:C14"/>
    <mergeCell ref="B15:C15"/>
    <mergeCell ref="B16:E16"/>
    <mergeCell ref="B17:C17"/>
    <mergeCell ref="B18:C18"/>
    <mergeCell ref="B19:C19"/>
    <mergeCell ref="B20:C20"/>
    <mergeCell ref="B21:C21"/>
    <mergeCell ref="B22:C22"/>
    <mergeCell ref="B23:C23"/>
    <mergeCell ref="B24:C24"/>
    <mergeCell ref="B26:C26"/>
    <mergeCell ref="B27:C27"/>
    <mergeCell ref="B28:C28"/>
    <mergeCell ref="B29:C29"/>
    <mergeCell ref="B30:C30"/>
    <mergeCell ref="B32:C32"/>
    <mergeCell ref="B33:C33"/>
    <mergeCell ref="B34:C34"/>
    <mergeCell ref="B35:C35"/>
    <mergeCell ref="B36:C36"/>
    <mergeCell ref="B37:C37"/>
    <mergeCell ref="B38:C38"/>
    <mergeCell ref="B39:C39"/>
    <mergeCell ref="B40:C40"/>
    <mergeCell ref="B41:C41"/>
    <mergeCell ref="B42:C42"/>
    <mergeCell ref="B43:E43"/>
    <mergeCell ref="B44:C44"/>
    <mergeCell ref="B45:C45"/>
    <mergeCell ref="B46:C46"/>
    <mergeCell ref="B47:C47"/>
    <mergeCell ref="B48:C48"/>
    <mergeCell ref="B49:C49"/>
    <mergeCell ref="B50:E50"/>
    <mergeCell ref="B51:C51"/>
    <mergeCell ref="B52:C52"/>
    <mergeCell ref="B53:C53"/>
    <mergeCell ref="B55:C55"/>
    <mergeCell ref="B56:C56"/>
    <mergeCell ref="B58:C58"/>
    <mergeCell ref="B59:C59"/>
    <mergeCell ref="B60:C60"/>
    <mergeCell ref="B61:C61"/>
    <mergeCell ref="A62:E62"/>
    <mergeCell ref="B63:C63"/>
    <mergeCell ref="B64:C64"/>
    <mergeCell ref="B65:C65"/>
    <mergeCell ref="B66:C66"/>
    <mergeCell ref="C68:D68"/>
    <mergeCell ref="E68:F68"/>
    <mergeCell ref="B87:C87"/>
    <mergeCell ref="B82:E82"/>
    <mergeCell ref="B83:C83"/>
    <mergeCell ref="B84:C84"/>
    <mergeCell ref="B85:C85"/>
    <mergeCell ref="B86:C86"/>
  </mergeCells>
  <pageMargins left="0.70833333333333304" right="0.70833333333333304" top="0.74791666666666701" bottom="0.74791666666666701" header="0.511811023622047" footer="0.511811023622047"/>
  <pageSetup paperSize="9" scale="8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4" baseType="variant">
      <vt:variant>
        <vt:lpstr>Feuilles de calcul</vt:lpstr>
      </vt:variant>
      <vt:variant>
        <vt:i4>20</vt:i4>
      </vt:variant>
      <vt:variant>
        <vt:lpstr>Plages nommées</vt:lpstr>
      </vt:variant>
      <vt:variant>
        <vt:i4>1</vt:i4>
      </vt:variant>
    </vt:vector>
  </HeadingPairs>
  <TitlesOfParts>
    <vt:vector size="21" baseType="lpstr">
      <vt:lpstr>PRESENTATION </vt:lpstr>
      <vt:lpstr>INTRODUCTION </vt:lpstr>
      <vt:lpstr>Masque de Saisie</vt:lpstr>
      <vt:lpstr>ENONCE 2025</vt:lpstr>
      <vt:lpstr>BP VERSION JANVIER 2023</vt:lpstr>
      <vt:lpstr>BP FORMAT JUILLET 2023</vt:lpstr>
      <vt:lpstr>HEURES SUPPLEMENTAIRES </vt:lpstr>
      <vt:lpstr>FEUILLE DE CONTROLE </vt:lpstr>
      <vt:lpstr>TABLE DES TAUX 2025 </vt:lpstr>
      <vt:lpstr>TR Matrice Net Imposable </vt:lpstr>
      <vt:lpstr>TR Matrice Cotisations </vt:lpstr>
      <vt:lpstr>RED. GEN. de COT. Janv</vt:lpstr>
      <vt:lpstr>Red Gen de CoBP Format Juillet</vt:lpstr>
      <vt:lpstr>TAUX NEUTRE </vt:lpstr>
      <vt:lpstr>TAUX NEUTRE JANVIER  </vt:lpstr>
      <vt:lpstr>TAUX NEUTRE MAI</vt:lpstr>
      <vt:lpstr>MATRICE IJSS ABSENCE </vt:lpstr>
      <vt:lpstr>MATRICE IJSS MALADIE</vt:lpstr>
      <vt:lpstr>MATRICE IJSS MATERNITE </vt:lpstr>
      <vt:lpstr>MATRICE ISS AT </vt:lpstr>
      <vt:lpstr>TAUX2023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Bienvenue</dc:creator>
  <dc:description/>
  <cp:lastModifiedBy>jacques LE CHEVANTON</cp:lastModifiedBy>
  <cp:revision>1</cp:revision>
  <cp:lastPrinted>2025-05-14T09:47:14Z</cp:lastPrinted>
  <dcterms:created xsi:type="dcterms:W3CDTF">2019-09-02T13:46:41Z</dcterms:created>
  <dcterms:modified xsi:type="dcterms:W3CDTF">2025-05-14T09:52:38Z</dcterms:modified>
  <dc:language>fr-FR</dc:language>
</cp:coreProperties>
</file>