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6.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d.docs.live.net/fa77d33fea66a78b/Desktop/1 PAIE 2025/CHAPITRE 28 STAGIAIRES/2025/"/>
    </mc:Choice>
  </mc:AlternateContent>
  <xr:revisionPtr revIDLastSave="47" documentId="8_{661930F9-3C17-4FAC-8BEF-C3AD505906C1}" xr6:coauthVersionLast="47" xr6:coauthVersionMax="47" xr10:uidLastSave="{0D3FC791-A871-432D-B0B6-9FB33CD04180}"/>
  <bookViews>
    <workbookView xWindow="-108" yWindow="-108" windowWidth="23256" windowHeight="12456" firstSheet="2" activeTab="4" xr2:uid="{00000000-000D-0000-FFFF-FFFF00000000}"/>
  </bookViews>
  <sheets>
    <sheet name="PRESENTATION " sheetId="64" r:id="rId1"/>
    <sheet name="INTRODUCTION " sheetId="66" r:id="rId2"/>
    <sheet name="ENONCE ET CORRECTION " sheetId="85" r:id="rId3"/>
    <sheet name="Masque de Saisie" sheetId="55" r:id="rId4"/>
    <sheet name="BP FORMAT JUILLET 2023" sheetId="51" r:id="rId5"/>
    <sheet name="BP VERSION JANVIER 2023" sheetId="31" r:id="rId6"/>
    <sheet name="HEURES SUPPLEMENTAIRES " sheetId="33" r:id="rId7"/>
    <sheet name="FEUILLE DE CONTROLE " sheetId="67" r:id="rId8"/>
    <sheet name="TAUX NEUTRE " sheetId="84" r:id="rId9"/>
    <sheet name="TABLE DES TAUX 2025 " sheetId="50" r:id="rId10"/>
    <sheet name="TR Matrice Net Imposable " sheetId="77" r:id="rId11"/>
    <sheet name="TR Matrice Cotisations " sheetId="78" r:id="rId12"/>
    <sheet name="RED. GEN. de COT. Janv" sheetId="60" r:id="rId13"/>
    <sheet name="Red Gen de CoBP Format Juillet" sheetId="52" r:id="rId14"/>
    <sheet name="TAUX NEUTRE JANVIER  " sheetId="24" r:id="rId15"/>
    <sheet name="TAUX NEUTRE  MAI " sheetId="83" r:id="rId16"/>
    <sheet name="MATRICE IJSS ABSENCE " sheetId="65" r:id="rId17"/>
    <sheet name="MATRICE IJSS MALADIE" sheetId="80" r:id="rId18"/>
    <sheet name="MATRICE IJSS MATERNITE " sheetId="81" r:id="rId19"/>
    <sheet name="MATRICE ISS AT " sheetId="82" r:id="rId20"/>
  </sheets>
  <externalReferences>
    <externalReference r:id="rId21"/>
    <externalReference r:id="rId22"/>
    <externalReference r:id="rId23"/>
    <externalReference r:id="rId24"/>
    <externalReference r:id="rId25"/>
  </externalReferences>
  <definedNames>
    <definedName name="TABLE2019">#REF!</definedName>
    <definedName name="TABLE201NN">#REF!</definedName>
    <definedName name="TABLE20NN">#REF!</definedName>
    <definedName name="TABLETAUX">#REF!</definedName>
    <definedName name="TAUX2015">'[1]Table des taux '!$A$2:$D$55</definedName>
    <definedName name="TAUX2023">'TABLE DES TAUX 2025 '!$B$1:$E$58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5" i="51" l="1"/>
  <c r="I48" i="85"/>
  <c r="C9" i="51"/>
  <c r="C9" i="31"/>
  <c r="I51" i="85"/>
  <c r="E41" i="55"/>
  <c r="I37" i="85"/>
  <c r="E42" i="55" s="1"/>
  <c r="E46" i="55" s="1"/>
  <c r="I31" i="85"/>
  <c r="I33" i="85" s="1"/>
  <c r="I39" i="85" s="1"/>
  <c r="A26" i="83"/>
  <c r="A25" i="83"/>
  <c r="A24" i="83"/>
  <c r="A23" i="83"/>
  <c r="A22" i="83"/>
  <c r="A21" i="83"/>
  <c r="A20" i="83"/>
  <c r="A19" i="83"/>
  <c r="A18" i="83"/>
  <c r="A17" i="83"/>
  <c r="A16" i="83"/>
  <c r="A15" i="83"/>
  <c r="A14" i="83"/>
  <c r="A13" i="83"/>
  <c r="H12" i="83"/>
  <c r="A12" i="83"/>
  <c r="H11" i="83"/>
  <c r="D26" i="83" s="1"/>
  <c r="A11" i="83"/>
  <c r="A10" i="83"/>
  <c r="A9" i="83"/>
  <c r="A8" i="83"/>
  <c r="E49" i="51"/>
  <c r="D129" i="51"/>
  <c r="E47" i="31"/>
  <c r="D111" i="31"/>
  <c r="C34" i="82"/>
  <c r="C25" i="82"/>
  <c r="C9" i="82"/>
  <c r="C11" i="82" s="1"/>
  <c r="C13" i="82" s="1"/>
  <c r="C19" i="82"/>
  <c r="E29" i="81"/>
  <c r="E28" i="81"/>
  <c r="J27" i="81"/>
  <c r="E27" i="81"/>
  <c r="J26" i="81"/>
  <c r="B15" i="81"/>
  <c r="B12" i="81"/>
  <c r="B14" i="81" s="1"/>
  <c r="F27" i="81"/>
  <c r="C48" i="80"/>
  <c r="C46" i="80"/>
  <c r="C45" i="80"/>
  <c r="C44" i="80"/>
  <c r="C57" i="80" s="1"/>
  <c r="C43" i="80"/>
  <c r="C53" i="80" s="1"/>
  <c r="C42" i="80"/>
  <c r="C41" i="80"/>
  <c r="F27" i="80"/>
  <c r="C16" i="80"/>
  <c r="C11" i="80"/>
  <c r="E5" i="80"/>
  <c r="C60" i="80"/>
  <c r="B16" i="81"/>
  <c r="C14" i="80"/>
  <c r="C47" i="80"/>
  <c r="I53" i="85" l="1"/>
  <c r="D15" i="83"/>
  <c r="D23" i="83"/>
  <c r="D8" i="83"/>
  <c r="D19" i="83"/>
  <c r="D16" i="83"/>
  <c r="D20" i="83"/>
  <c r="D24" i="83"/>
  <c r="D21" i="83"/>
  <c r="D12" i="83"/>
  <c r="D9" i="83"/>
  <c r="D10" i="83"/>
  <c r="D13" i="83"/>
  <c r="D17" i="83"/>
  <c r="D25" i="83"/>
  <c r="D7" i="83"/>
  <c r="D11" i="83"/>
  <c r="D14" i="83"/>
  <c r="D18" i="83"/>
  <c r="D22" i="83"/>
  <c r="J28" i="81"/>
  <c r="J30" i="81" s="1"/>
  <c r="H32" i="81" s="1"/>
  <c r="C23" i="82"/>
  <c r="C17" i="82"/>
  <c r="C22" i="82" s="1"/>
  <c r="C16" i="82"/>
  <c r="C18" i="82" s="1"/>
  <c r="C20" i="82" s="1"/>
  <c r="C27" i="82" s="1"/>
  <c r="F28" i="81"/>
  <c r="G28" i="81" s="1"/>
  <c r="H28" i="81" s="1"/>
  <c r="G27" i="81"/>
  <c r="H27" i="81" s="1"/>
  <c r="F29" i="81"/>
  <c r="G29" i="81" s="1"/>
  <c r="H29" i="81" s="1"/>
  <c r="B17" i="81"/>
  <c r="G27" i="80"/>
  <c r="F28" i="80"/>
  <c r="C49" i="80"/>
  <c r="C63" i="80" s="1"/>
  <c r="C15" i="80"/>
  <c r="C61" i="80"/>
  <c r="C56" i="80"/>
  <c r="C58" i="80"/>
  <c r="C59" i="80"/>
  <c r="C13" i="80"/>
  <c r="G32" i="80" s="1"/>
  <c r="C54" i="80"/>
  <c r="C55" i="80"/>
  <c r="C37" i="51" l="1"/>
  <c r="C38" i="51" s="1"/>
  <c r="C36" i="31"/>
  <c r="D27" i="83"/>
  <c r="H30" i="81"/>
  <c r="H31" i="81" s="1"/>
  <c r="H33" i="81" s="1"/>
  <c r="H35" i="81" s="1"/>
  <c r="C62" i="80"/>
  <c r="C24" i="82"/>
  <c r="C26" i="82" s="1"/>
  <c r="C29" i="82"/>
  <c r="C28" i="82"/>
  <c r="C30" i="82" s="1"/>
  <c r="C36" i="82" s="1"/>
  <c r="C35" i="82"/>
  <c r="C31" i="82"/>
  <c r="F29" i="80"/>
  <c r="G29" i="80" s="1"/>
  <c r="G28" i="80"/>
  <c r="C66" i="31" l="1"/>
  <c r="C37" i="31"/>
  <c r="C52" i="51"/>
  <c r="C51" i="51"/>
  <c r="C49" i="51"/>
  <c r="H34" i="81"/>
  <c r="H37" i="81" s="1"/>
  <c r="G30" i="80"/>
  <c r="G31" i="80" s="1"/>
  <c r="G33" i="80" s="1"/>
  <c r="G36" i="80" s="1"/>
  <c r="C32" i="82"/>
  <c r="C33" i="82" s="1"/>
  <c r="C37" i="82" s="1"/>
  <c r="C128" i="51" l="1"/>
  <c r="C58" i="51"/>
  <c r="C59" i="51" s="1"/>
  <c r="C66" i="51" s="1"/>
  <c r="C47" i="31"/>
  <c r="C49" i="31" s="1"/>
  <c r="C110" i="31" s="1"/>
  <c r="C111" i="31" s="1"/>
  <c r="C112" i="31" s="1"/>
  <c r="C50" i="31"/>
  <c r="C58" i="31" s="1"/>
  <c r="C59" i="31" s="1"/>
  <c r="H36" i="81"/>
  <c r="G34" i="80"/>
  <c r="G35" i="80"/>
  <c r="C116" i="31" l="1"/>
  <c r="C117" i="31"/>
  <c r="C119" i="31" s="1"/>
  <c r="G36" i="67"/>
  <c r="C129" i="51"/>
  <c r="C130" i="51" s="1"/>
  <c r="C134" i="51" s="1"/>
  <c r="C135" i="51" s="1"/>
  <c r="C137" i="51" s="1"/>
  <c r="G13" i="31"/>
  <c r="G13" i="51"/>
  <c r="E5" i="78"/>
  <c r="C6" i="77" s="1"/>
  <c r="E7" i="78"/>
  <c r="C8" i="77" s="1"/>
  <c r="C18" i="77" s="1"/>
  <c r="E9" i="78"/>
  <c r="E21" i="78" s="1"/>
  <c r="E19" i="78" l="1"/>
  <c r="E25" i="78" s="1"/>
  <c r="E17" i="78"/>
  <c r="E15" i="78"/>
  <c r="G15" i="78" s="1"/>
  <c r="C10" i="77"/>
  <c r="C23" i="77" s="1"/>
  <c r="C25" i="77" s="1"/>
  <c r="C21" i="77"/>
  <c r="D14" i="77"/>
  <c r="E13" i="78"/>
  <c r="G13" i="78"/>
  <c r="E23" i="78"/>
  <c r="G17" i="78"/>
  <c r="C16" i="77"/>
  <c r="D16" i="77" s="1"/>
  <c r="D18" i="77"/>
  <c r="C14" i="77"/>
  <c r="H16" i="77" l="1"/>
  <c r="E28" i="78"/>
  <c r="C27" i="77"/>
  <c r="H13" i="78"/>
  <c r="C29" i="77"/>
  <c r="E76" i="51" l="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C43" i="65"/>
  <c r="C42" i="65"/>
  <c r="C41" i="65"/>
  <c r="C51" i="65" s="1"/>
  <c r="C40" i="65"/>
  <c r="C46" i="65" s="1"/>
  <c r="C39" i="65"/>
  <c r="F27" i="65"/>
  <c r="C16" i="65"/>
  <c r="C11" i="65"/>
  <c r="E7" i="65"/>
  <c r="E5" i="65"/>
  <c r="C14" i="65"/>
  <c r="C45" i="65"/>
  <c r="C44" i="65" l="1"/>
  <c r="C57" i="65" s="1"/>
  <c r="E51" i="24"/>
  <c r="C52" i="65"/>
  <c r="F28" i="65"/>
  <c r="G27" i="65"/>
  <c r="C15" i="65"/>
  <c r="C54" i="65"/>
  <c r="C55" i="65"/>
  <c r="C13" i="65"/>
  <c r="G32" i="65" s="1"/>
  <c r="C53" i="65"/>
  <c r="C58" i="65"/>
  <c r="C56" i="65" l="1"/>
  <c r="C47" i="65"/>
  <c r="C61" i="65" s="1"/>
  <c r="C59" i="65"/>
  <c r="G28" i="65"/>
  <c r="F29" i="65"/>
  <c r="G29" i="65" s="1"/>
  <c r="C60" i="65" l="1"/>
  <c r="G30" i="65"/>
  <c r="G31" i="65" s="1"/>
  <c r="I84" i="50"/>
  <c r="F79" i="50"/>
  <c r="E79" i="50"/>
  <c r="F73" i="50"/>
  <c r="E73" i="50"/>
  <c r="D73" i="50"/>
  <c r="C73" i="50"/>
  <c r="G60" i="50"/>
  <c r="D60" i="50"/>
  <c r="G59" i="50"/>
  <c r="D59" i="50"/>
  <c r="D58" i="50"/>
  <c r="D57" i="50"/>
  <c r="G33" i="65" l="1"/>
  <c r="G34" i="65" s="1"/>
  <c r="G35" i="65" l="1"/>
  <c r="G36" i="65"/>
  <c r="G21" i="31" l="1"/>
  <c r="J20" i="31"/>
  <c r="J19" i="31"/>
  <c r="J18" i="31"/>
  <c r="J13" i="31"/>
  <c r="I21" i="31" s="1"/>
  <c r="G47" i="51"/>
  <c r="G48" i="51"/>
  <c r="F81" i="51"/>
  <c r="G80" i="51"/>
  <c r="F80" i="51"/>
  <c r="I13" i="31" l="1"/>
  <c r="J21" i="31"/>
  <c r="G13" i="67" l="1"/>
  <c r="D76" i="51" l="1"/>
  <c r="E75" i="51"/>
  <c r="D75" i="51"/>
  <c r="E43" i="51"/>
  <c r="D43" i="51"/>
  <c r="E40" i="51"/>
  <c r="D40" i="51"/>
  <c r="D41" i="31"/>
  <c r="E38" i="31"/>
  <c r="D38" i="31"/>
  <c r="E40" i="31"/>
  <c r="D40" i="31"/>
  <c r="E39" i="31"/>
  <c r="D39" i="31"/>
  <c r="G21" i="51"/>
  <c r="A145" i="33" s="1"/>
  <c r="C33" i="31" l="1"/>
  <c r="E89" i="33"/>
  <c r="E88" i="33"/>
  <c r="D10" i="51"/>
  <c r="D10" i="31"/>
  <c r="E42" i="31"/>
  <c r="D43" i="31"/>
  <c r="E78" i="51"/>
  <c r="D78" i="51"/>
  <c r="G11" i="31"/>
  <c r="J10" i="31"/>
  <c r="H10" i="31"/>
  <c r="E61" i="31" s="1"/>
  <c r="J9" i="31"/>
  <c r="I9" i="31"/>
  <c r="B9" i="31"/>
  <c r="E7" i="60" s="1"/>
  <c r="G8" i="31"/>
  <c r="G7" i="31"/>
  <c r="B7" i="31"/>
  <c r="G6" i="31"/>
  <c r="B6" i="31"/>
  <c r="G5" i="31"/>
  <c r="G4" i="31"/>
  <c r="B4" i="31"/>
  <c r="G3" i="31"/>
  <c r="B3" i="31"/>
  <c r="F75" i="31"/>
  <c r="G11" i="67" s="1"/>
  <c r="G74" i="31"/>
  <c r="F74" i="31"/>
  <c r="G10" i="67" s="1"/>
  <c r="C33" i="51"/>
  <c r="C125" i="33" s="1"/>
  <c r="D129" i="33" s="1"/>
  <c r="J13" i="51"/>
  <c r="G11" i="51"/>
  <c r="J10" i="51"/>
  <c r="H10" i="51"/>
  <c r="J9" i="51"/>
  <c r="I9" i="51"/>
  <c r="G7" i="51"/>
  <c r="G6" i="51"/>
  <c r="G5" i="51"/>
  <c r="G8" i="51"/>
  <c r="G4" i="51"/>
  <c r="G3" i="51"/>
  <c r="E118" i="55"/>
  <c r="F118" i="55" s="1"/>
  <c r="E117" i="55"/>
  <c r="F117" i="55" s="1"/>
  <c r="B13" i="84" l="1"/>
  <c r="A14" i="84" s="1"/>
  <c r="B21" i="84"/>
  <c r="A22" i="84" s="1"/>
  <c r="B14" i="84"/>
  <c r="A15" i="84" s="1"/>
  <c r="B22" i="84"/>
  <c r="A23" i="84" s="1"/>
  <c r="B9" i="84"/>
  <c r="A10" i="84" s="1"/>
  <c r="B17" i="84"/>
  <c r="A18" i="84" s="1"/>
  <c r="B25" i="84"/>
  <c r="A26" i="84" s="1"/>
  <c r="B10" i="84"/>
  <c r="A11" i="84" s="1"/>
  <c r="B18" i="84"/>
  <c r="A19" i="84" s="1"/>
  <c r="B26" i="84"/>
  <c r="B11" i="84"/>
  <c r="A12" i="84" s="1"/>
  <c r="B19" i="84"/>
  <c r="A20" i="84" s="1"/>
  <c r="B7" i="84"/>
  <c r="A8" i="84" s="1"/>
  <c r="B20" i="84"/>
  <c r="A21" i="84" s="1"/>
  <c r="B15" i="84"/>
  <c r="A16" i="84" s="1"/>
  <c r="B23" i="84"/>
  <c r="A24" i="84" s="1"/>
  <c r="B8" i="84"/>
  <c r="A9" i="84" s="1"/>
  <c r="B16" i="84"/>
  <c r="A17" i="84" s="1"/>
  <c r="B24" i="84"/>
  <c r="A25" i="84" s="1"/>
  <c r="B12" i="84"/>
  <c r="A13" i="84" s="1"/>
  <c r="E61" i="51"/>
  <c r="E6" i="60"/>
  <c r="E6" i="52"/>
  <c r="I21" i="51"/>
  <c r="I13" i="51"/>
  <c r="J33" i="31"/>
  <c r="E10" i="60" s="1"/>
  <c r="J20" i="51"/>
  <c r="J19" i="51"/>
  <c r="J18" i="51"/>
  <c r="E5" i="60" l="1"/>
  <c r="E4" i="60"/>
  <c r="E5" i="52"/>
  <c r="E4" i="52"/>
  <c r="C38" i="31"/>
  <c r="G17" i="67"/>
  <c r="G8" i="67"/>
  <c r="C43" i="31"/>
  <c r="G43" i="31" s="1"/>
  <c r="C114" i="31" s="1"/>
  <c r="C42" i="31"/>
  <c r="J21" i="51"/>
  <c r="J33" i="51" s="1"/>
  <c r="E10" i="52" s="1"/>
  <c r="B16" i="52" s="1"/>
  <c r="C43" i="51" l="1"/>
  <c r="D54" i="51"/>
  <c r="E54" i="51"/>
  <c r="E53" i="51"/>
  <c r="D53" i="51"/>
  <c r="F43" i="31"/>
  <c r="E85" i="33"/>
  <c r="B57" i="33"/>
  <c r="D16" i="60" l="1"/>
  <c r="B10" i="51"/>
  <c r="G78" i="51"/>
  <c r="C132" i="51" s="1"/>
  <c r="F78" i="51"/>
  <c r="B10" i="31"/>
  <c r="E9" i="60" l="1"/>
  <c r="C39" i="31"/>
  <c r="B9" i="51"/>
  <c r="E7" i="52" s="1"/>
  <c r="B7" i="51"/>
  <c r="B6" i="51"/>
  <c r="B4" i="51"/>
  <c r="B3" i="51"/>
  <c r="E126" i="51"/>
  <c r="D16" i="52"/>
  <c r="E90" i="33"/>
  <c r="D130" i="33" s="1"/>
  <c r="F44" i="33"/>
  <c r="F45" i="33"/>
  <c r="F46" i="33"/>
  <c r="F47" i="33"/>
  <c r="D109" i="31"/>
  <c r="D67" i="31"/>
  <c r="D70" i="31" s="1"/>
  <c r="D113" i="31"/>
  <c r="D114" i="31"/>
  <c r="E114" i="31" s="1"/>
  <c r="D115" i="31"/>
  <c r="D116" i="31"/>
  <c r="D117" i="31"/>
  <c r="D118" i="31"/>
  <c r="D119" i="31"/>
  <c r="D112" i="31"/>
  <c r="D110" i="31"/>
  <c r="D66" i="31"/>
  <c r="D68" i="31" s="1"/>
  <c r="D69" i="31" s="1"/>
  <c r="E63" i="31"/>
  <c r="D63" i="31"/>
  <c r="E59" i="31"/>
  <c r="E58" i="31"/>
  <c r="E50" i="31"/>
  <c r="E49" i="31"/>
  <c r="D50" i="31"/>
  <c r="D49" i="31"/>
  <c r="E44" i="51"/>
  <c r="E37" i="31"/>
  <c r="E36" i="31"/>
  <c r="E110" i="31" l="1"/>
  <c r="E119" i="31"/>
  <c r="C118" i="31"/>
  <c r="E118" i="31" s="1"/>
  <c r="C41" i="31" l="1"/>
  <c r="B91" i="31"/>
  <c r="F38" i="31"/>
  <c r="G38" i="31"/>
  <c r="E111" i="31"/>
  <c r="C109" i="31"/>
  <c r="E109" i="31" s="1"/>
  <c r="E117" i="31"/>
  <c r="E112" i="31"/>
  <c r="G39" i="51"/>
  <c r="G41" i="51"/>
  <c r="G42" i="51"/>
  <c r="G62" i="51"/>
  <c r="F39" i="51"/>
  <c r="F41" i="51"/>
  <c r="F42" i="51"/>
  <c r="F47" i="51"/>
  <c r="F48" i="51"/>
  <c r="F55" i="51"/>
  <c r="F56" i="51"/>
  <c r="F62" i="51"/>
  <c r="F71" i="51"/>
  <c r="D66" i="51"/>
  <c r="D67" i="51"/>
  <c r="D70" i="51" s="1"/>
  <c r="E63" i="51"/>
  <c r="D63" i="51"/>
  <c r="D132" i="51"/>
  <c r="E132" i="51" s="1"/>
  <c r="D128" i="51"/>
  <c r="D130" i="51"/>
  <c r="D131" i="51"/>
  <c r="D133" i="51"/>
  <c r="D134" i="51"/>
  <c r="D135" i="51"/>
  <c r="D136" i="51"/>
  <c r="D137" i="51"/>
  <c r="D127" i="51"/>
  <c r="E58" i="51"/>
  <c r="E59" i="51"/>
  <c r="E55" i="51"/>
  <c r="G55" i="51" s="1"/>
  <c r="E56" i="51"/>
  <c r="G56" i="51" s="1"/>
  <c r="E45" i="51"/>
  <c r="G45" i="51" s="1"/>
  <c r="E46" i="51"/>
  <c r="G46" i="51" s="1"/>
  <c r="E38" i="51"/>
  <c r="E51" i="51"/>
  <c r="E52" i="51"/>
  <c r="E37" i="51"/>
  <c r="E51" i="31" l="1"/>
  <c r="G31" i="67"/>
  <c r="G19" i="67"/>
  <c r="D69" i="51"/>
  <c r="D68" i="51"/>
  <c r="E116" i="31"/>
  <c r="E115" i="31"/>
  <c r="D52" i="51"/>
  <c r="D41" i="33" s="1"/>
  <c r="D45" i="51"/>
  <c r="F45" i="51" s="1"/>
  <c r="D46" i="51"/>
  <c r="F46" i="51" s="1"/>
  <c r="D51" i="51"/>
  <c r="D40" i="33" s="1"/>
  <c r="C112" i="51"/>
  <c r="C103" i="51"/>
  <c r="Q60" i="51"/>
  <c r="G37" i="67" l="1"/>
  <c r="E9" i="52" l="1"/>
  <c r="C16" i="52" s="1"/>
  <c r="E16" i="52" s="1"/>
  <c r="C16" i="60"/>
  <c r="E16" i="60" s="1"/>
  <c r="E128" i="51"/>
  <c r="E137" i="51"/>
  <c r="B16" i="60" l="1"/>
  <c r="F16" i="60" s="1"/>
  <c r="G16" i="60" s="1"/>
  <c r="H16" i="60" s="1"/>
  <c r="I16" i="60" s="1"/>
  <c r="C57" i="33"/>
  <c r="C136" i="51"/>
  <c r="E136" i="51" s="1"/>
  <c r="G71" i="31" l="1"/>
  <c r="J85" i="31" s="1"/>
  <c r="E57" i="33"/>
  <c r="D42" i="33"/>
  <c r="D51" i="31"/>
  <c r="C75" i="51"/>
  <c r="C40" i="51"/>
  <c r="C44" i="51"/>
  <c r="F16" i="52"/>
  <c r="G16" i="52" s="1"/>
  <c r="H16" i="52" s="1"/>
  <c r="I16" i="52" s="1"/>
  <c r="C76" i="51"/>
  <c r="B96" i="51"/>
  <c r="G49" i="51"/>
  <c r="E129" i="51"/>
  <c r="G59" i="51"/>
  <c r="G58" i="51"/>
  <c r="E52" i="31"/>
  <c r="E135" i="51"/>
  <c r="G37" i="51"/>
  <c r="C54" i="51"/>
  <c r="E130" i="51"/>
  <c r="C127" i="51"/>
  <c r="E127" i="51" s="1"/>
  <c r="D111" i="51"/>
  <c r="D102" i="51"/>
  <c r="C49" i="67" l="1"/>
  <c r="G71" i="51"/>
  <c r="J91" i="51" s="1"/>
  <c r="E50" i="67" s="1"/>
  <c r="E91" i="33"/>
  <c r="D131" i="33"/>
  <c r="G57" i="33"/>
  <c r="D132" i="33" s="1"/>
  <c r="F44" i="51"/>
  <c r="G44" i="51"/>
  <c r="G40" i="51"/>
  <c r="F40" i="51"/>
  <c r="C72" i="51"/>
  <c r="B95" i="51" s="1"/>
  <c r="G43" i="51"/>
  <c r="F43" i="51"/>
  <c r="E43" i="33"/>
  <c r="G54" i="51"/>
  <c r="F54" i="51"/>
  <c r="G38" i="51"/>
  <c r="E40" i="33"/>
  <c r="F40" i="33" s="1"/>
  <c r="G51" i="51"/>
  <c r="F51" i="51"/>
  <c r="E41" i="33"/>
  <c r="F41" i="33" s="1"/>
  <c r="G52" i="51"/>
  <c r="F52" i="51"/>
  <c r="E42" i="33"/>
  <c r="F42" i="33" s="1"/>
  <c r="G53" i="51"/>
  <c r="F53" i="51"/>
  <c r="D43" i="33"/>
  <c r="D52" i="31"/>
  <c r="E134" i="51"/>
  <c r="E133" i="51"/>
  <c r="C63" i="51"/>
  <c r="G61" i="51"/>
  <c r="D103" i="51"/>
  <c r="D104" i="51" s="1"/>
  <c r="D112" i="51"/>
  <c r="E86" i="33" l="1"/>
  <c r="E49" i="67"/>
  <c r="G49" i="67" s="1"/>
  <c r="J87" i="51"/>
  <c r="F43" i="33"/>
  <c r="F49" i="33" s="1"/>
  <c r="F50" i="33" s="1"/>
  <c r="F141" i="33"/>
  <c r="C72" i="31" s="1"/>
  <c r="D133" i="33"/>
  <c r="E98" i="33"/>
  <c r="G63" i="51"/>
  <c r="F63" i="51"/>
  <c r="E87" i="33" l="1"/>
  <c r="F137" i="33"/>
  <c r="F138" i="33"/>
  <c r="F140" i="33" l="1"/>
  <c r="F60" i="31"/>
  <c r="F64" i="31"/>
  <c r="P119" i="33"/>
  <c r="O119" i="33"/>
  <c r="N119" i="33"/>
  <c r="M119" i="33"/>
  <c r="L119" i="33"/>
  <c r="K119" i="33"/>
  <c r="E119" i="33"/>
  <c r="U118" i="33"/>
  <c r="T118" i="33"/>
  <c r="S118" i="33"/>
  <c r="R118" i="33"/>
  <c r="Q118" i="33"/>
  <c r="U98" i="33"/>
  <c r="T98" i="33"/>
  <c r="S98" i="33"/>
  <c r="R98" i="33"/>
  <c r="Q98" i="33"/>
  <c r="P98" i="33"/>
  <c r="O98" i="33"/>
  <c r="N98" i="33"/>
  <c r="M98" i="33"/>
  <c r="L98" i="33"/>
  <c r="U97" i="33"/>
  <c r="T97" i="33"/>
  <c r="S97" i="33"/>
  <c r="R97" i="33"/>
  <c r="Q97" i="33"/>
  <c r="P97" i="33"/>
  <c r="O97" i="33"/>
  <c r="N97" i="33"/>
  <c r="M97" i="33"/>
  <c r="L97" i="33"/>
  <c r="U96" i="33"/>
  <c r="T96" i="33"/>
  <c r="S96" i="33"/>
  <c r="R96" i="33"/>
  <c r="Q96" i="33"/>
  <c r="P96" i="33"/>
  <c r="O96" i="33"/>
  <c r="N96" i="33"/>
  <c r="M96" i="33"/>
  <c r="L96" i="33"/>
  <c r="U95" i="33"/>
  <c r="T95" i="33"/>
  <c r="S95" i="33"/>
  <c r="R95" i="33"/>
  <c r="Q95" i="33"/>
  <c r="P95" i="33"/>
  <c r="O95" i="33"/>
  <c r="N95" i="33"/>
  <c r="M95" i="33"/>
  <c r="L95" i="33"/>
  <c r="U94" i="33"/>
  <c r="T94" i="33"/>
  <c r="S94" i="33"/>
  <c r="R94" i="33"/>
  <c r="Q94" i="33"/>
  <c r="P94" i="33"/>
  <c r="O94" i="33"/>
  <c r="N94" i="33"/>
  <c r="M94" i="33"/>
  <c r="L94" i="33"/>
  <c r="U93" i="33"/>
  <c r="T93" i="33"/>
  <c r="S93" i="33"/>
  <c r="R93" i="33"/>
  <c r="Q93" i="33"/>
  <c r="P93" i="33"/>
  <c r="O93" i="33"/>
  <c r="N93" i="33"/>
  <c r="M93" i="33"/>
  <c r="L93" i="33"/>
  <c r="U92" i="33"/>
  <c r="T92" i="33"/>
  <c r="S92" i="33"/>
  <c r="R92" i="33"/>
  <c r="Q92" i="33"/>
  <c r="P92" i="33"/>
  <c r="O92" i="33"/>
  <c r="N92" i="33"/>
  <c r="M92" i="33"/>
  <c r="L92" i="33"/>
  <c r="U91" i="33"/>
  <c r="U115" i="33" s="1"/>
  <c r="T91" i="33"/>
  <c r="T115" i="33" s="1"/>
  <c r="S91" i="33"/>
  <c r="S115" i="33" s="1"/>
  <c r="R91" i="33"/>
  <c r="R115" i="33" s="1"/>
  <c r="Q91" i="33"/>
  <c r="Q115" i="33" s="1"/>
  <c r="P91" i="33"/>
  <c r="P115" i="33" s="1"/>
  <c r="O91" i="33"/>
  <c r="O115" i="33" s="1"/>
  <c r="N91" i="33"/>
  <c r="N115" i="33" s="1"/>
  <c r="M91" i="33"/>
  <c r="M115" i="33" s="1"/>
  <c r="L91" i="33"/>
  <c r="L115" i="33" s="1"/>
  <c r="K115" i="33"/>
  <c r="U88" i="33"/>
  <c r="T88" i="33"/>
  <c r="S88" i="33"/>
  <c r="R88" i="33"/>
  <c r="Q88" i="33"/>
  <c r="P88" i="33"/>
  <c r="O88" i="33"/>
  <c r="O114" i="33" s="1"/>
  <c r="N88" i="33"/>
  <c r="N85" i="33" s="1"/>
  <c r="N114" i="33" s="1"/>
  <c r="M88" i="33"/>
  <c r="M85" i="33" s="1"/>
  <c r="M114" i="33" s="1"/>
  <c r="L88" i="33"/>
  <c r="L90" i="33" s="1"/>
  <c r="U85" i="33"/>
  <c r="T85" i="33"/>
  <c r="S85" i="33"/>
  <c r="R85" i="33"/>
  <c r="Q85" i="33"/>
  <c r="P85" i="33"/>
  <c r="O85" i="33"/>
  <c r="L85" i="33"/>
  <c r="L114" i="33" s="1"/>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B64" i="33"/>
  <c r="B59" i="33"/>
  <c r="T48" i="33"/>
  <c r="V48" i="33" s="1"/>
  <c r="S48" i="33"/>
  <c r="R48" i="33"/>
  <c r="P48" i="33"/>
  <c r="N48" i="33"/>
  <c r="L48" i="33"/>
  <c r="C36" i="33"/>
  <c r="B36" i="33"/>
  <c r="C35" i="33"/>
  <c r="B35" i="33"/>
  <c r="C34" i="33"/>
  <c r="B34" i="33"/>
  <c r="C33" i="33"/>
  <c r="B33" i="33"/>
  <c r="C32" i="33"/>
  <c r="B32" i="33"/>
  <c r="C31" i="33"/>
  <c r="B31" i="33"/>
  <c r="C30" i="33"/>
  <c r="B30" i="33"/>
  <c r="C29" i="33"/>
  <c r="B29" i="33"/>
  <c r="C28" i="33"/>
  <c r="B28" i="33"/>
  <c r="C27" i="33"/>
  <c r="B27" i="33"/>
  <c r="C26" i="33"/>
  <c r="B26" i="33"/>
  <c r="C25" i="33"/>
  <c r="B25" i="33"/>
  <c r="C24" i="33"/>
  <c r="D24" i="33" s="1"/>
  <c r="B24" i="33"/>
  <c r="E24" i="33" s="1"/>
  <c r="C15" i="33"/>
  <c r="B15" i="33"/>
  <c r="C14" i="33"/>
  <c r="B14" i="33"/>
  <c r="C13" i="33"/>
  <c r="B13" i="33"/>
  <c r="C12" i="33"/>
  <c r="B12" i="33"/>
  <c r="C11" i="33"/>
  <c r="B11" i="33"/>
  <c r="C10" i="33"/>
  <c r="B10" i="33"/>
  <c r="C9" i="33"/>
  <c r="B9" i="33"/>
  <c r="C8" i="33"/>
  <c r="B8" i="33"/>
  <c r="C7" i="33"/>
  <c r="B7" i="33"/>
  <c r="R41" i="33" s="1"/>
  <c r="C6" i="33"/>
  <c r="B6" i="33"/>
  <c r="P41" i="33" s="1"/>
  <c r="C5" i="33"/>
  <c r="B5" i="33"/>
  <c r="N41" i="33" s="1"/>
  <c r="C4" i="33"/>
  <c r="B4" i="33"/>
  <c r="L41" i="33" s="1"/>
  <c r="C3" i="33"/>
  <c r="D3" i="33" s="1"/>
  <c r="B3" i="33"/>
  <c r="E3" i="33" s="1"/>
  <c r="K103" i="33"/>
  <c r="K105" i="33" s="1"/>
  <c r="B65" i="33" l="1"/>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X48" i="33"/>
  <c r="B60" i="33"/>
  <c r="K4" i="33" l="1"/>
  <c r="L4" i="33" s="1"/>
  <c r="D5" i="33"/>
  <c r="O4" i="33"/>
  <c r="P4" i="33" s="1"/>
  <c r="L43" i="33" s="1"/>
  <c r="M4" i="33"/>
  <c r="N4" i="33" s="1"/>
  <c r="D79" i="33"/>
  <c r="M25" i="33"/>
  <c r="N25" i="33" s="1"/>
  <c r="L47" i="33" s="1"/>
  <c r="M47" i="33" s="1"/>
  <c r="K25" i="33"/>
  <c r="L25" i="33" s="1"/>
  <c r="L46" i="33" s="1"/>
  <c r="M46" i="33" s="1"/>
  <c r="E26" i="33"/>
  <c r="Y48" i="33"/>
  <c r="Z48" i="33"/>
  <c r="D26" i="33"/>
  <c r="K117" i="33"/>
  <c r="K118" i="33" s="1"/>
  <c r="K120" i="33" s="1"/>
  <c r="E8" i="33"/>
  <c r="D80" i="33" l="1"/>
  <c r="E27" i="33"/>
  <c r="M26" i="33"/>
  <c r="N26" i="33" s="1"/>
  <c r="N47" i="33" s="1"/>
  <c r="O47" i="33" s="1"/>
  <c r="K26" i="33"/>
  <c r="L26" i="33" s="1"/>
  <c r="N46" i="33" s="1"/>
  <c r="O46" i="33" s="1"/>
  <c r="M43" i="33"/>
  <c r="L45" i="33"/>
  <c r="M45" i="33" s="1"/>
  <c r="AB48" i="33"/>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AD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F48" i="33"/>
  <c r="AG48" i="33" s="1"/>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63" i="31" l="1"/>
  <c r="G63" i="31" s="1"/>
  <c r="G50" i="31"/>
  <c r="F50" i="31"/>
  <c r="F58" i="31"/>
  <c r="G58" i="31"/>
  <c r="D125" i="31"/>
  <c r="G61" i="31"/>
  <c r="F61" i="31"/>
  <c r="F47" i="31"/>
  <c r="G47" i="31"/>
  <c r="F52" i="31"/>
  <c r="G52" i="31"/>
  <c r="E114" i="33"/>
  <c r="F51" i="31"/>
  <c r="G51" i="31"/>
  <c r="G49" i="31"/>
  <c r="F49" i="31"/>
  <c r="F36" i="31"/>
  <c r="G36" i="31"/>
  <c r="D124" i="31"/>
  <c r="F63" i="31" l="1"/>
  <c r="E116" i="33"/>
  <c r="K116" i="33" s="1"/>
  <c r="L116" i="33" s="1"/>
  <c r="M116" i="33" s="1"/>
  <c r="N116" i="33" s="1"/>
  <c r="O116" i="33" s="1"/>
  <c r="P116" i="33" s="1"/>
  <c r="Q116" i="33" s="1"/>
  <c r="R116" i="33" s="1"/>
  <c r="S116" i="33" s="1"/>
  <c r="T116" i="33" s="1"/>
  <c r="U116" i="33" s="1"/>
  <c r="E120" i="33"/>
  <c r="F69" i="51" l="1"/>
  <c r="E95" i="33" s="1"/>
  <c r="D57" i="33"/>
  <c r="F57" i="33" l="1"/>
  <c r="E141" i="33"/>
  <c r="B90" i="31" s="1"/>
  <c r="F70" i="51"/>
  <c r="E96" i="33" s="1"/>
  <c r="F68" i="51"/>
  <c r="G69" i="31"/>
  <c r="F69" i="31"/>
  <c r="J86" i="51" l="1"/>
  <c r="E94" i="33"/>
  <c r="F72" i="51"/>
  <c r="F72" i="31"/>
  <c r="C70" i="31"/>
  <c r="F68" i="31"/>
  <c r="G68" i="31"/>
  <c r="F70" i="31" l="1"/>
  <c r="G70" i="31"/>
  <c r="G42" i="31" l="1"/>
  <c r="F42" i="31"/>
  <c r="F41" i="31"/>
  <c r="G41" i="31"/>
  <c r="G33" i="67" s="1"/>
  <c r="F59" i="31"/>
  <c r="G59" i="31"/>
  <c r="G37" i="31"/>
  <c r="F37" i="31"/>
  <c r="G38" i="67" l="1"/>
  <c r="G39" i="67" s="1"/>
  <c r="G34" i="67"/>
  <c r="C113" i="31"/>
  <c r="C50" i="67"/>
  <c r="G50" i="67" s="1"/>
  <c r="E113" i="31" l="1"/>
  <c r="E120" i="31" s="1"/>
  <c r="G64" i="31" s="1"/>
  <c r="H34" i="67"/>
  <c r="C45" i="67" s="1"/>
  <c r="G73" i="31" l="1"/>
  <c r="C47" i="67" s="1"/>
  <c r="J84" i="31" l="1"/>
  <c r="F76" i="51" l="1"/>
  <c r="G76" i="51"/>
  <c r="F75" i="51"/>
  <c r="G75" i="51"/>
  <c r="E99" i="33" l="1"/>
  <c r="D134" i="33" s="1"/>
  <c r="F136" i="33" s="1"/>
  <c r="C131" i="51"/>
  <c r="I39" i="67" l="1"/>
  <c r="E48" i="67" s="1"/>
  <c r="E131" i="51"/>
  <c r="E138" i="51" s="1"/>
  <c r="G64" i="51" s="1"/>
  <c r="G73" i="51" s="1"/>
  <c r="E47" i="67" s="1"/>
  <c r="G47" i="67" s="1"/>
  <c r="I34" i="67"/>
  <c r="E45" i="67" s="1"/>
  <c r="G45" i="67" s="1"/>
  <c r="F139" i="33"/>
  <c r="H39" i="67"/>
  <c r="C48" i="67" s="1"/>
  <c r="G48" i="67" l="1"/>
  <c r="C67" i="51"/>
  <c r="F67" i="51" s="1"/>
  <c r="E93" i="33" s="1"/>
  <c r="J92" i="51"/>
  <c r="D107" i="51"/>
  <c r="D116" i="51"/>
  <c r="E114" i="51" s="1"/>
  <c r="F66" i="51"/>
  <c r="E92" i="33" l="1"/>
  <c r="F73" i="51"/>
  <c r="F79" i="51" s="1"/>
  <c r="E46" i="67" l="1"/>
  <c r="J84" i="51"/>
  <c r="I14" i="67" s="1"/>
  <c r="E42" i="67" s="1"/>
  <c r="E97" i="33"/>
  <c r="E100" i="33" s="1"/>
  <c r="H11" i="24" l="1"/>
  <c r="E18" i="24" s="1"/>
  <c r="H11" i="84"/>
  <c r="I22" i="67"/>
  <c r="E43" i="67" s="1"/>
  <c r="B97" i="51"/>
  <c r="E11" i="24" l="1"/>
  <c r="E20" i="24"/>
  <c r="E15" i="24"/>
  <c r="E8" i="24"/>
  <c r="E25" i="24"/>
  <c r="E24" i="24"/>
  <c r="E17" i="24"/>
  <c r="E12" i="24"/>
  <c r="E16" i="24"/>
  <c r="E19" i="24"/>
  <c r="E23" i="24"/>
  <c r="E10" i="24"/>
  <c r="E14" i="24"/>
  <c r="E21" i="24"/>
  <c r="E9" i="24"/>
  <c r="E7" i="24"/>
  <c r="E22" i="24"/>
  <c r="E13" i="24"/>
  <c r="E26" i="24"/>
  <c r="D26" i="84"/>
  <c r="D11" i="84"/>
  <c r="D23" i="84"/>
  <c r="D17" i="84"/>
  <c r="D21" i="84"/>
  <c r="D9" i="84"/>
  <c r="D8" i="84"/>
  <c r="D15" i="84"/>
  <c r="D10" i="84"/>
  <c r="D19" i="84"/>
  <c r="D13" i="84"/>
  <c r="D22" i="84"/>
  <c r="D12" i="84"/>
  <c r="D14" i="84"/>
  <c r="D25" i="84"/>
  <c r="D18" i="84"/>
  <c r="D16" i="84"/>
  <c r="D7" i="84"/>
  <c r="D20" i="84"/>
  <c r="D24" i="84"/>
  <c r="I28" i="67"/>
  <c r="E44" i="67" s="1"/>
  <c r="F66" i="31"/>
  <c r="C67" i="31"/>
  <c r="F67" i="31" s="1"/>
  <c r="D129" i="31"/>
  <c r="F127" i="31" s="1"/>
  <c r="J79" i="31" s="1"/>
  <c r="E27" i="24" l="1"/>
  <c r="H12" i="24" s="1"/>
  <c r="D27" i="84"/>
  <c r="H12" i="84" s="1"/>
  <c r="F73" i="31"/>
  <c r="C46" i="67" s="1"/>
  <c r="G46" i="67" s="1"/>
  <c r="G21" i="67"/>
  <c r="F83" i="31" l="1"/>
  <c r="F89" i="51"/>
  <c r="H89" i="51" s="1"/>
  <c r="J90" i="51" s="1"/>
  <c r="G25" i="67"/>
  <c r="G28" i="67" s="1"/>
  <c r="C44" i="67" s="1"/>
  <c r="G44" i="67" s="1"/>
  <c r="H22" i="67"/>
  <c r="J78" i="31"/>
  <c r="H14" i="67" s="1"/>
  <c r="C42" i="67" s="1"/>
  <c r="G42" i="67" s="1"/>
  <c r="G18" i="67"/>
  <c r="G22" i="67" s="1"/>
  <c r="C43" i="67" s="1"/>
  <c r="G43" i="67" s="1"/>
  <c r="G9" i="67"/>
  <c r="G14" i="67" s="1"/>
  <c r="B92" i="31"/>
  <c r="B94" i="51" l="1"/>
  <c r="H83" i="31"/>
  <c r="H28" i="67"/>
  <c r="J86" i="3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1661B80-9043-442F-BC95-8FE2EA392E1A}">
      <text>
        <r>
          <rPr>
            <sz val="9"/>
            <color indexed="81"/>
            <rFont val="Tahoma"/>
            <family val="2"/>
          </rPr>
          <t xml:space="preserve">Les infos que vous retrouvez à ce niveau sont répercutées automatiquement dans le BP 
</t>
        </r>
      </text>
    </comment>
    <comment ref="H20" authorId="0" shapeId="0" xr:uid="{3AD39DB9-16F1-4707-AC6B-2A69589981AE}">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17A215A9-59EC-47D4-8877-B785832089D3}">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B551F439-EF12-46BA-8B92-8224FA6178B4}">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A2C7FAF0-BFF3-427B-83DD-B8951323DE63}">
      <text>
        <r>
          <rPr>
            <sz val="9"/>
            <color indexed="81"/>
            <rFont val="Tahoma"/>
            <family val="2"/>
          </rPr>
          <t xml:space="preserve">Il faut prendre le PMSS du mois précédant l'arrêt
de travail et l'appliquer aux autres mois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9"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3" authorId="0" shapeId="0" xr:uid="{82775510-B3C0-4956-9B0C-80EF659191F7}">
      <text>
        <r>
          <rPr>
            <sz val="9"/>
            <color indexed="81"/>
            <rFont val="Tahoma"/>
            <family val="2"/>
          </rPr>
          <t xml:space="preserve">
En cas de non subrogation les IJSS nettes n'apparaissent jamais sur le bas du BP</t>
        </r>
      </text>
    </comment>
    <comment ref="D89" authorId="0" shapeId="0" xr:uid="{BE437FAD-31F2-4C7A-B519-1B424658380B}">
      <text>
        <r>
          <rPr>
            <sz val="9"/>
            <color indexed="81"/>
            <rFont val="Tahoma"/>
            <family val="2"/>
          </rPr>
          <t xml:space="preserve">La base du PAS n'est pas toujours égale au Net Imposable.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E120" authorId="0" shapeId="0" xr:uid="{00000000-0006-0000-0500-00001A000000}">
      <text>
        <r>
          <rPr>
            <sz val="9"/>
            <color indexed="81"/>
            <rFont val="Tahoma"/>
            <family val="2"/>
          </rPr>
          <t xml:space="preserve">Ce montant est reporté à la Ligne Autres Contributions de l'Employeur du BP 
Ligne 60
</t>
        </r>
      </text>
    </comment>
    <comment ref="C123"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D8" authorId="0" shapeId="0" xr:uid="{9E080E47-1A27-4340-8B38-9A4E5C058C0A}">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D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B5" authorId="0" shapeId="0" xr:uid="{F0163194-6714-4BAB-8742-114C123ED7E8}">
      <text>
        <r>
          <rPr>
            <sz val="9"/>
            <color indexed="81"/>
            <rFont val="Tahoma"/>
            <family val="2"/>
          </rPr>
          <t xml:space="preserve">Taux propre à chaque entreprise 
</t>
        </r>
      </text>
    </comment>
    <comment ref="B6" authorId="0" shapeId="0" xr:uid="{67C48B33-CABC-472C-ACDA-F0A44CB19146}">
      <text>
        <r>
          <rPr>
            <sz val="9"/>
            <color indexed="81"/>
            <rFont val="Tahoma"/>
            <family val="2"/>
          </rPr>
          <t xml:space="preserve">Taux propre à chaque entreprise
</t>
        </r>
      </text>
    </comment>
    <comment ref="B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D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B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B27" authorId="0" shapeId="0" xr:uid="{E05F7163-6CD7-494E-A3EA-ACF8A2145A37}">
      <text>
        <r>
          <rPr>
            <sz val="9"/>
            <color indexed="81"/>
            <rFont val="Tahoma"/>
            <family val="2"/>
          </rPr>
          <t xml:space="preserve">
Effectif salariés &gt; = 50</t>
        </r>
      </text>
    </comment>
    <comment ref="B28" authorId="0" shapeId="0" xr:uid="{575C48A4-C328-42D2-AB39-F9A6E45F5C37}">
      <text>
        <r>
          <rPr>
            <sz val="9"/>
            <color indexed="81"/>
            <rFont val="Tahoma"/>
            <family val="2"/>
          </rPr>
          <t xml:space="preserve">(Taux Variable) Applicable Si Effectif salariés &gt;= 11
</t>
        </r>
      </text>
    </comment>
    <comment ref="E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79603FEE-3673-474E-B039-D7127CF85D8F}">
      <text>
        <r>
          <rPr>
            <b/>
            <sz val="9"/>
            <color indexed="81"/>
            <rFont val="Tahoma"/>
            <family val="2"/>
          </rPr>
          <t xml:space="preserve"> </t>
        </r>
        <r>
          <rPr>
            <sz val="9"/>
            <color indexed="81"/>
            <rFont val="Tahoma"/>
            <family val="2"/>
          </rPr>
          <t>Si Effectif salariés &gt;= 11)</t>
        </r>
      </text>
    </comment>
    <comment ref="B34" authorId="0" shapeId="0" xr:uid="{CDE49048-B6E7-4D15-9239-C1DD407707AD}">
      <text>
        <r>
          <rPr>
            <sz val="9"/>
            <color indexed="81"/>
            <rFont val="Tahoma"/>
            <family val="2"/>
          </rPr>
          <t>(Si Effectifs salariés &gt; = 11 )</t>
        </r>
      </text>
    </comment>
    <comment ref="B35" authorId="0" shapeId="0" xr:uid="{455ECEAE-A9EF-4F28-925C-EB0E325171B0}">
      <text>
        <r>
          <rPr>
            <sz val="9"/>
            <color indexed="81"/>
            <rFont val="Tahoma"/>
            <family val="2"/>
          </rPr>
          <t xml:space="preserve">(Si Effectifs salariés &lt; 11 )
</t>
        </r>
      </text>
    </comment>
    <comment ref="B36"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D8" authorId="0" shapeId="0" xr:uid="{584AD9D4-7BC8-4C46-85B2-F2713F5E2CA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<sst xmlns="http://schemas.openxmlformats.org/spreadsheetml/2006/main" count="1458" uniqueCount="940">
  <si>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</si>
  <si>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</si>
  <si>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</si>
  <si>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</si>
  <si>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</si>
  <si>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</si>
  <si>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</si>
  <si>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</si>
  <si>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</si>
  <si>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</si>
  <si>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</si>
  <si>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</si>
  <si>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</si>
  <si>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</si>
  <si>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</si>
  <si>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</si>
  <si>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</si>
  <si>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</si>
  <si>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</si>
  <si>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</si>
  <si>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</si>
  <si>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</si>
  <si>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</si>
  <si>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</si>
  <si>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</si>
  <si>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</si>
  <si>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</si>
  <si>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</si>
  <si>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</si>
  <si>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</si>
  <si>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</si>
  <si>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</si>
  <si>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</si>
  <si>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</si>
  <si>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</si>
  <si>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</si>
  <si>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</si>
  <si>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</si>
  <si>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</si>
  <si>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</si>
  <si>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</si>
  <si>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</si>
  <si>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</si>
  <si>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</si>
  <si>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</si>
  <si>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</si>
  <si>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</si>
  <si>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</si>
  <si>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</si>
  <si>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</si>
  <si>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</si>
  <si>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</si>
  <si>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</si>
  <si>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</si>
  <si>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</si>
  <si>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</si>
  <si>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</si>
  <si>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</si>
  <si>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</si>
  <si>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</si>
  <si>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</si>
  <si>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</si>
  <si>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</si>
  <si>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</si>
  <si>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</si>
  <si>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</si>
  <si>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</si>
  <si>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</si>
  <si>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</si>
  <si>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</si>
  <si>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</si>
  <si>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</si>
  <si>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</si>
  <si>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</si>
  <si>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</si>
  <si>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</si>
  <si>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</si>
  <si>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</si>
  <si>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</si>
  <si>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</si>
  <si>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</si>
  <si>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POLE SANTE </t>
  </si>
  <si>
    <t xml:space="preserve">POLE RETRAITE </t>
  </si>
  <si>
    <t xml:space="preserve">AUTRES CONTRIBUTIONS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</si>
  <si>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</si>
  <si>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</si>
  <si>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</si>
  <si>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</si>
  <si>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</si>
  <si>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</si>
  <si>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</si>
  <si>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</si>
  <si>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</si>
  <si>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</si>
  <si>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</si>
  <si>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</si>
  <si>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</si>
  <si>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</si>
  <si>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</si>
  <si>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</si>
  <si>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</si>
  <si>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</si>
  <si>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</si>
  <si>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</si>
  <si>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</si>
  <si>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</si>
  <si>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</si>
  <si>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</si>
  <si>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</si>
  <si>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</si>
  <si>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</si>
  <si>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</si>
  <si>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</si>
  <si>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</si>
  <si>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</si>
  <si>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</si>
  <si>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</si>
  <si>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</si>
  <si>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</si>
  <si>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</si>
  <si>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</si>
  <si>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</si>
  <si>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</si>
  <si>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</si>
  <si>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</si>
  <si>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</si>
  <si>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</si>
  <si>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</si>
  <si>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</si>
  <si>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</si>
  <si>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</si>
  <si>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</si>
  <si>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</si>
  <si>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</si>
  <si>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</si>
  <si>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</si>
  <si>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</si>
  <si>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</si>
  <si>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</si>
  <si>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</si>
  <si>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</si>
  <si>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</si>
  <si>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</si>
  <si>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</si>
  <si>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</si>
  <si>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</si>
  <si>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</si>
  <si>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</si>
  <si>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</si>
  <si>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</si>
  <si>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</si>
  <si>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</si>
  <si>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</si>
  <si>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</si>
  <si>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</si>
  <si>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</si>
  <si>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</si>
  <si>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</si>
  <si>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</si>
  <si>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</si>
  <si>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</si>
  <si>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</si>
  <si>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</si>
  <si>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</si>
  <si>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</si>
  <si>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</si>
  <si>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</si>
  <si>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</si>
  <si>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</si>
  <si>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</si>
  <si>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</si>
  <si>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</si>
  <si>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</si>
  <si>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</si>
  <si>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</si>
  <si>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</si>
  <si>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</si>
  <si>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</si>
  <si>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</si>
  <si>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</si>
  <si>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</si>
  <si>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</si>
  <si>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</si>
  <si>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</si>
  <si>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</si>
  <si>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</si>
  <si>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</si>
  <si>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</si>
  <si>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</si>
  <si>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</si>
  <si>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</si>
  <si>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</si>
  <si>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</si>
  <si>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</si>
  <si>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</si>
  <si>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</si>
  <si>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</si>
  <si>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</si>
  <si>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</si>
  <si>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</si>
  <si>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</si>
  <si>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</si>
  <si>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</si>
  <si>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</si>
  <si>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</si>
  <si>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</si>
  <si>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</si>
  <si>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</si>
  <si>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</si>
  <si>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</si>
  <si>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</si>
  <si>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</si>
  <si>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</si>
  <si>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</si>
  <si>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</si>
  <si>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</si>
  <si>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</si>
  <si>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</si>
  <si>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</si>
  <si>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</si>
  <si>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</si>
  <si>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 xml:space="preserve">DFHS entreprises de 20 à moins de 250 salariés </t>
  </si>
  <si>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</si>
  <si>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</si>
  <si>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</si>
  <si>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</si>
  <si>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</si>
  <si>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</si>
  <si>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</si>
  <si>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</si>
  <si>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</si>
  <si>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</si>
  <si>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</si>
  <si>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</si>
  <si>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</si>
  <si>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</si>
  <si>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</si>
  <si>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</si>
  <si>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</si>
  <si>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</si>
  <si>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</si>
  <si>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</si>
  <si>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</si>
  <si>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</si>
  <si>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</si>
  <si>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</si>
  <si>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</si>
  <si>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</si>
  <si>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</si>
  <si>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</si>
  <si>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</si>
  <si>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</si>
  <si>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</si>
  <si>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</si>
  <si>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</si>
  <si>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</si>
  <si>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</si>
  <si>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</si>
  <si>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</si>
  <si>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</si>
  <si>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</si>
  <si>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</si>
  <si>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</si>
  <si>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</si>
  <si>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</si>
  <si>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</si>
  <si>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</si>
  <si>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</si>
  <si>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</si>
  <si>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</si>
  <si>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</si>
  <si>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</si>
  <si>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</si>
  <si>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</si>
  <si>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</si>
  <si>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</si>
  <si>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</si>
  <si>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</si>
  <si>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</si>
  <si>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</si>
  <si>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</si>
  <si>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</si>
  <si>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</si>
  <si>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</si>
  <si>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</si>
  <si>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</si>
  <si>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</si>
  <si>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</si>
  <si>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</si>
  <si>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</si>
  <si>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</si>
  <si>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</si>
  <si>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</si>
  <si>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</si>
  <si>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</si>
  <si>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</si>
  <si>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</si>
  <si>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</si>
  <si>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</si>
  <si>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</si>
  <si>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</si>
  <si>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</si>
  <si>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</si>
  <si>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</si>
  <si>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</si>
  <si>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</si>
  <si>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</si>
  <si>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</si>
  <si>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</si>
  <si>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</si>
  <si>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</si>
  <si>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</si>
  <si>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</si>
  <si>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</si>
  <si>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</si>
  <si>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</si>
  <si>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</si>
  <si>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</si>
  <si>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</si>
  <si>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</si>
  <si>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</si>
  <si>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</si>
  <si>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</si>
  <si>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</si>
  <si>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</si>
  <si>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</si>
  <si>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</si>
  <si>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</si>
  <si>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</si>
  <si>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</si>
  <si>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</si>
  <si>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</si>
  <si>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</si>
  <si>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</si>
  <si>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</si>
  <si>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</si>
  <si>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</si>
  <si>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</si>
  <si>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</si>
  <si>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</si>
  <si>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</si>
  <si>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</si>
  <si>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</si>
  <si>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</si>
  <si>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</si>
  <si>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</si>
  <si>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</si>
  <si>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</si>
  <si>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</si>
  <si>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</si>
  <si>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</si>
  <si>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</si>
  <si>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</si>
  <si>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</si>
  <si>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</si>
  <si>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</si>
  <si>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</si>
  <si>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</si>
  <si>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</si>
  <si>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</si>
  <si>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</si>
  <si>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</si>
  <si>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</si>
  <si>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</si>
  <si>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</si>
  <si>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</si>
  <si>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</si>
  <si>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</si>
  <si>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</si>
  <si>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</si>
  <si>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</si>
  <si>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</si>
  <si>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</si>
  <si>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</si>
  <si>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</si>
  <si>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</si>
  <si>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</si>
  <si>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</si>
  <si>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</si>
  <si>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</si>
  <si>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</si>
  <si>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</si>
  <si>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</si>
  <si>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</si>
  <si>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</si>
  <si>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</si>
  <si>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</si>
  <si>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</si>
  <si>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</si>
  <si>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</si>
  <si>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</si>
  <si>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</si>
  <si>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</si>
  <si>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</si>
  <si>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</si>
  <si>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</si>
  <si>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</si>
  <si>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</si>
  <si>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</si>
  <si>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</si>
  <si>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</si>
  <si>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</si>
  <si>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</si>
  <si>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</si>
  <si>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</si>
  <si>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</si>
  <si>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</si>
  <si>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</si>
  <si>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</si>
  <si>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</si>
  <si>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</si>
  <si>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</si>
  <si>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</si>
  <si>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</si>
  <si>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</si>
  <si>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</si>
  <si>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</si>
  <si>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</si>
  <si>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</si>
  <si>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</si>
  <si>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</si>
  <si>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</si>
  <si>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</si>
  <si>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</si>
  <si>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</si>
  <si>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</si>
  <si>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</si>
  <si>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</si>
  <si>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</si>
  <si>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</si>
  <si>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</si>
  <si>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</si>
  <si>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</si>
  <si>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</si>
  <si>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</si>
  <si>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</si>
  <si>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</si>
  <si>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</si>
  <si>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</si>
  <si>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</si>
  <si>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</si>
  <si>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</si>
  <si>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</si>
  <si>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</si>
  <si>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</si>
  <si>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</si>
  <si>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</si>
  <si>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</si>
  <si>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</si>
  <si>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</si>
  <si>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</si>
  <si>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</si>
  <si>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</si>
  <si>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</si>
  <si>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</si>
  <si>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</si>
  <si>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</si>
  <si>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</si>
  <si>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</si>
  <si>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</si>
  <si>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</si>
  <si>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</si>
  <si>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</si>
  <si>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</si>
  <si>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</si>
  <si>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</si>
  <si>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</si>
  <si>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</si>
  <si>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</si>
  <si>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IJSS  Nettes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</si>
  <si>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</si>
  <si>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</si>
  <si>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</si>
  <si>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</si>
  <si>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</si>
  <si>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</si>
  <si>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</si>
  <si>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</si>
  <si>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Cellule G39 (Mutuelle )</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</si>
  <si>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</si>
  <si>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</si>
  <si>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</si>
  <si>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</si>
  <si>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</si>
  <si>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</si>
  <si>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</si>
  <si>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</si>
  <si>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</si>
  <si>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</si>
  <si>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</si>
  <si>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</si>
  <si>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</si>
  <si>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</si>
  <si>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</si>
  <si>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</si>
  <si>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AVANTAGE EN NATURE </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</si>
  <si>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</si>
  <si>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</si>
  <si>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</si>
  <si>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</si>
  <si>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</si>
  <si>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</si>
  <si>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</si>
  <si>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</si>
  <si>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</si>
  <si>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</si>
  <si>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</si>
  <si>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</si>
  <si>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</si>
  <si>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</si>
  <si>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nb: en 2023 resp 0,3191 et 0,3231</t>
  </si>
  <si>
    <t>A compter du 01/02/2024</t>
  </si>
  <si>
    <t xml:space="preserve">2,01 % / 1,6 % </t>
  </si>
  <si>
    <t>Absence Maladie du 20/03 au 31/03</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</si>
  <si>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</si>
  <si>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</si>
  <si>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</si>
  <si>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</si>
  <si>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</si>
  <si>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</si>
  <si>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</si>
  <si>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</si>
  <si>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</si>
  <si>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</si>
  <si>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</si>
  <si>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</si>
  <si>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</si>
  <si>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</si>
  <si>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</si>
  <si>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</si>
  <si>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</si>
  <si>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</si>
  <si>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</si>
  <si>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</si>
  <si>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</si>
  <si>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</si>
  <si>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</si>
  <si>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</si>
  <si>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</si>
  <si>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</si>
  <si>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</si>
  <si>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</si>
  <si>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</si>
  <si>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</si>
  <si>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</si>
  <si>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</si>
  <si>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</si>
  <si>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</si>
  <si>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</si>
  <si>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</si>
  <si>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</si>
  <si>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</si>
  <si>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</si>
  <si>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</si>
  <si>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</si>
  <si>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</si>
  <si>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</si>
  <si>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</si>
  <si>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</si>
  <si>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</si>
  <si>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</si>
  <si>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</si>
  <si>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</si>
  <si>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</si>
  <si>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</si>
  <si>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</si>
  <si>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</si>
  <si>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</si>
  <si>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</si>
  <si>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</si>
  <si>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</si>
  <si>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</si>
  <si>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</si>
  <si>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</si>
  <si>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</si>
  <si>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</si>
  <si>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</si>
  <si>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</si>
  <si>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</si>
  <si>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</si>
  <si>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</si>
  <si>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</si>
  <si>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</si>
  <si>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</si>
  <si>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</si>
  <si>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</si>
  <si>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</si>
  <si>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</si>
  <si>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</si>
  <si>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</si>
  <si>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</si>
  <si>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</si>
  <si>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</si>
  <si>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</si>
  <si>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</si>
  <si>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</si>
  <si>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</si>
  <si>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</si>
  <si>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</si>
  <si>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</si>
  <si>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</si>
  <si>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</si>
  <si>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</si>
  <si>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</si>
  <si>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</si>
  <si>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</si>
  <si>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</si>
  <si>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</si>
  <si>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</si>
  <si>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</si>
  <si>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</si>
  <si>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</si>
  <si>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</si>
  <si>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</si>
  <si>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</si>
  <si>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</si>
  <si>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</si>
  <si>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</si>
  <si>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</si>
  <si>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</si>
  <si>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</si>
  <si>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</si>
  <si>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</si>
  <si>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</si>
  <si>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</si>
  <si>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</si>
  <si>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</si>
  <si>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</si>
  <si>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</si>
  <si>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</si>
  <si>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</si>
  <si>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</si>
  <si>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</si>
  <si>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</si>
  <si>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</si>
  <si>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</si>
  <si>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</si>
  <si>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</si>
  <si>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</si>
  <si>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</si>
  <si>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</si>
  <si>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</si>
  <si>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</si>
  <si>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</si>
  <si>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</si>
  <si>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</si>
  <si>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</si>
  <si>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</si>
  <si>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</si>
  <si>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</si>
  <si>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</si>
  <si>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</si>
  <si>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</si>
  <si>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</si>
  <si>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</si>
  <si>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</si>
  <si>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</si>
  <si>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</si>
  <si>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</si>
  <si>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</si>
  <si>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</si>
  <si>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</si>
  <si>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</si>
  <si>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</si>
  <si>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</si>
  <si>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</si>
  <si>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</si>
  <si>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</si>
  <si>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</si>
  <si>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</si>
  <si>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</si>
  <si>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</si>
  <si>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</si>
  <si>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</si>
  <si>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</si>
  <si>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</si>
  <si>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</si>
  <si>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</si>
  <si>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</si>
  <si>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</si>
  <si>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</si>
  <si>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</si>
  <si>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</si>
  <si>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</si>
  <si>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</si>
  <si>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</si>
  <si>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</si>
  <si>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</si>
  <si>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</si>
  <si>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</si>
  <si>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</si>
  <si>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</si>
  <si>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</si>
  <si>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</si>
  <si>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</si>
  <si>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la limite de 2,25 SMIC</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</si>
  <si>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</si>
  <si>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</si>
  <si>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</si>
  <si>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</si>
  <si>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</si>
  <si>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</si>
  <si>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</si>
  <si>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</si>
  <si>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</si>
  <si>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</si>
  <si>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</si>
  <si>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</si>
  <si>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</si>
  <si>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</si>
  <si>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</si>
  <si>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</si>
  <si>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</si>
  <si>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</si>
  <si>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</si>
  <si>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</si>
  <si>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</si>
  <si>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</si>
  <si>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</si>
  <si>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</si>
  <si>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</si>
  <si>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</si>
  <si>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</si>
  <si>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</si>
  <si>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Trame Vierge BP Janvier 2023</t>
  </si>
  <si>
    <t xml:space="preserve">Trame Vierge BP Juillet 2023 </t>
  </si>
  <si>
    <t>2.96.02.297.820. 957</t>
  </si>
  <si>
    <t xml:space="preserve">Période de période (début du mois) </t>
  </si>
  <si>
    <t>Paramètre de calcul ( Format nombre du 01/05/2025)</t>
  </si>
  <si>
    <t xml:space="preserve">Début de paie du mois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</si>
  <si>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</si>
  <si>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</si>
  <si>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</si>
  <si>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</si>
  <si>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</si>
  <si>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</si>
  <si>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</si>
  <si>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</si>
  <si>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</si>
  <si>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</si>
  <si>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</si>
  <si>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</si>
  <si>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</si>
  <si>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</si>
  <si>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</si>
  <si>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</si>
  <si>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</si>
  <si>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</si>
  <si>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</si>
  <si>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</si>
  <si>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</si>
  <si>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</si>
  <si>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</si>
  <si>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</si>
  <si>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</si>
  <si>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</si>
  <si>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</si>
  <si>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</si>
  <si>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</si>
  <si>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</si>
  <si>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21. Lorsqu'un salarié est en CDD court il a le droit à un abattement de 739  euros sur la base du PAS (chiffre 2025)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</si>
  <si>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</si>
  <si>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</si>
  <si>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</si>
  <si>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</si>
  <si>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</si>
  <si>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Table des Taux 2025</t>
  </si>
  <si>
    <t xml:space="preserve">Une feuille reliée au BP Format Janvier , l'autre au BP Format Juillet </t>
  </si>
  <si>
    <t xml:space="preserve">Si le salarié est Non Cadre : NC </t>
  </si>
  <si>
    <t xml:space="preserve">Si le salarié est Non Cadre : 1 </t>
  </si>
  <si>
    <t xml:space="preserve">Feuille reliée au BP Format Janvier </t>
  </si>
  <si>
    <t xml:space="preserve">Feuille reliée au BP Format Juillet 2023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</si>
  <si>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</si>
  <si>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la limite de 3,3 SMIC</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</si>
  <si>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</si>
  <si>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</si>
  <si>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</si>
  <si>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</si>
  <si>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</si>
  <si>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</si>
  <si>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</si>
  <si>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</si>
  <si>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</si>
  <si>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</si>
  <si>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</si>
  <si>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</si>
  <si>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</si>
  <si>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</si>
  <si>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</si>
  <si>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</si>
  <si>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</si>
  <si>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</si>
  <si>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</si>
  <si>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</si>
  <si>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</si>
  <si>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</si>
  <si>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</si>
  <si>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</si>
  <si>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</si>
  <si>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</si>
  <si>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</si>
  <si>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</si>
  <si>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</si>
  <si>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</si>
  <si>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</si>
  <si>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</si>
  <si>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</si>
  <si>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</si>
  <si>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</si>
  <si>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</si>
  <si>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</si>
  <si>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</si>
  <si>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</si>
  <si>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</si>
  <si>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</si>
  <si>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</si>
  <si>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</si>
  <si>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</si>
  <si>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</si>
  <si>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</si>
  <si>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</si>
  <si>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</si>
  <si>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</si>
  <si>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</si>
  <si>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</si>
  <si>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</si>
  <si>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</si>
  <si>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</si>
  <si>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</si>
  <si>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</si>
  <si>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</si>
  <si>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</si>
  <si>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</si>
  <si>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</si>
  <si>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</si>
  <si>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</si>
  <si>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</si>
  <si>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</si>
  <si>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AN TR</t>
  </si>
  <si>
    <t>Grille du taux neutre  applicable au 1 er Mai 2025</t>
  </si>
  <si>
    <t>0.5 %</t>
  </si>
  <si>
    <t>1.3 %</t>
  </si>
  <si>
    <t>2.1 %</t>
  </si>
  <si>
    <t>2.9 %</t>
  </si>
  <si>
    <t>3.5 %</t>
  </si>
  <si>
    <t>4.1 %</t>
  </si>
  <si>
    <t>5.3 %</t>
  </si>
  <si>
    <t>7.5 %</t>
  </si>
  <si>
    <t>9.9 %</t>
  </si>
  <si>
    <t>11.9 %</t>
  </si>
  <si>
    <t>13.8 %</t>
  </si>
  <si>
    <t>15.8 %</t>
  </si>
  <si>
    <t>17.9 %</t>
  </si>
  <si>
    <t xml:space="preserve">​ </t>
  </si>
  <si>
    <t xml:space="preserve">Grille du taux neutre 2025 </t>
  </si>
  <si>
    <t xml:space="preserve">Cette feuille est paramètrée pour renvoyer dans la table ci-dessous les limites applicables avant Mai 2025 et à compter du 01/05/2025. Pour cela les limites en question sont "récupérées" dans les 2 </t>
  </si>
  <si>
    <t xml:space="preserve">feuilles TAUX NEUTRE JANVIER  et TAUX NEUTRE MAI classées en fin de classeur </t>
  </si>
  <si>
    <t xml:space="preserve">Format nombre de la date du 01/05/2025 </t>
  </si>
  <si>
    <t xml:space="preserve">( permet de faire un test sur la date du mois) </t>
  </si>
  <si>
    <t xml:space="preserve">Cet étudiant a été embauché pour un stage de 6 mois ( ce qui représente la durée maximum  légale  - soit un total d'heures  de 924 heures de présence dans l'entreprise)   </t>
  </si>
  <si>
    <t xml:space="preserve">Les horaires pratiqués dans l'entreprise sont de 35 heures par semaine. </t>
  </si>
  <si>
    <t>et 50% à la charge de l'employeur)</t>
  </si>
  <si>
    <t xml:space="preserve">Les effectifs de l'entreprise sont de </t>
  </si>
  <si>
    <t xml:space="preserve">salariés </t>
  </si>
  <si>
    <t xml:space="preserve">Le taux d'accident du travail applicable est de </t>
  </si>
  <si>
    <t xml:space="preserve">Les autres données nécessaires à l'établissement du bulletin de paie sont pré-remplies dans le masque de saisie </t>
  </si>
  <si>
    <t xml:space="preserve">Les particularités des cotisations dues par les stagiaires rendent évidemment caduques le paramètrage des bases de calcul des cotisations que vous </t>
  </si>
  <si>
    <t xml:space="preserve">modifierez donc directement dans les bulletins de paie </t>
  </si>
  <si>
    <t xml:space="preserve">Ce stagaire peut-il être amené à effectuer des heures supplémentaires ?  </t>
  </si>
  <si>
    <t xml:space="preserve">Eléments de correction </t>
  </si>
  <si>
    <t xml:space="preserve">Plafond horaire </t>
  </si>
  <si>
    <t>Taux applicable aux stagiaires</t>
  </si>
  <si>
    <t xml:space="preserve">les stagiaires sont exonérés de cotisations sur la </t>
  </si>
  <si>
    <t>partie de la gratification &lt;= à 15% du Plafond horaire</t>
  </si>
  <si>
    <t xml:space="preserve">Nombre d'heures par jour </t>
  </si>
  <si>
    <t xml:space="preserve">Gratification  horaire </t>
  </si>
  <si>
    <t xml:space="preserve">euros </t>
  </si>
  <si>
    <t xml:space="preserve">Nombre d'heures  du stage prévu dans la convention </t>
  </si>
  <si>
    <t>22*7*6</t>
  </si>
  <si>
    <t xml:space="preserve">La rémunération totale que percevra ce salarié au cours de son stage est de </t>
  </si>
  <si>
    <t xml:space="preserve">Nombre de jours travaillés en </t>
  </si>
  <si>
    <t xml:space="preserve">Octobre </t>
  </si>
  <si>
    <t xml:space="preserve">heures </t>
  </si>
  <si>
    <t xml:space="preserve">Sa rémunération d'Octobre sera donc de </t>
  </si>
  <si>
    <t xml:space="preserve">Nb.  L'employeur  a également la possibilité de lisser la rémunération sur la durée totale du stage  et ce quel que soit le nombe d'heures réelles effectué dans le mois. </t>
  </si>
  <si>
    <t xml:space="preserve">0n peut également déterminer directement Sa rémunération d'Octobre  : </t>
  </si>
  <si>
    <t xml:space="preserve">La rémunération perçue par ce salarié au cours du mois d'Octobre est déterminée ainsi </t>
  </si>
  <si>
    <t xml:space="preserve">Sur cette rémunération </t>
  </si>
  <si>
    <t xml:space="preserve">une partie est exonérée de cotisations </t>
  </si>
  <si>
    <t xml:space="preserve">15% du plafond horaire </t>
  </si>
  <si>
    <t xml:space="preserve">la différence </t>
  </si>
  <si>
    <t>étant soumise aux cotisations suivantes</t>
  </si>
  <si>
    <t>Cotisations salariales et patronales de SS y compris le taux de 6%</t>
  </si>
  <si>
    <t xml:space="preserve">CSG CRDS </t>
  </si>
  <si>
    <t xml:space="preserve">Contribution sociale pour l'autonomie </t>
  </si>
  <si>
    <t xml:space="preserve">Versement  mobilité le cas échéant </t>
  </si>
  <si>
    <t xml:space="preserve">FNAL </t>
  </si>
  <si>
    <t xml:space="preserve">Allocations familiales y compris le taux majoré </t>
  </si>
  <si>
    <t xml:space="preserve">Taxe d'apprentissage </t>
  </si>
  <si>
    <t xml:space="preserve">Contribution pour la formation professionnelle </t>
  </si>
  <si>
    <t xml:space="preserve">Participation à l'effort de construction le cas échéant </t>
  </si>
  <si>
    <t xml:space="preserve">SS plafonnée </t>
  </si>
  <si>
    <t xml:space="preserve">SS déplafonnée </t>
  </si>
  <si>
    <t xml:space="preserve">Pas de cotisations </t>
  </si>
  <si>
    <t xml:space="preserve">Assurance chômage </t>
  </si>
  <si>
    <t xml:space="preserve">Retraite complémentaire </t>
  </si>
  <si>
    <t xml:space="preserve">Pas  de  Réduction générale de cotisations </t>
  </si>
  <si>
    <t xml:space="preserve">La couverture par la mutuelle d'entreprise n'entre pas dans les avantages qui peuvent être accordés au stagiaire. En effet, ce dernier conserve le statut d'étudiant </t>
  </si>
  <si>
    <t>et est donc couvert par sa propre mutuelle (ou celle de ses parents).</t>
  </si>
  <si>
    <t xml:space="preserve">Par ailleurs, la gratification est exonérée de l’impôt sur le revenu dans la limite du SMIC annuel quelle que soit la durée du stage </t>
  </si>
  <si>
    <t>Rappel : à la différence de l'assiette du  PAS</t>
  </si>
  <si>
    <t xml:space="preserve">le net imposable calculé par l'employeur et figurant </t>
  </si>
  <si>
    <t>Certaines lignes des bulletins de paie sont laissées apparentes pour faire ressortir que les cotisations correspondantes ne sont pas dues</t>
  </si>
  <si>
    <t>sur le BP ( montant mensuel et montant cumulé)  ne</t>
  </si>
  <si>
    <t xml:space="preserve">Pour l'édition définitive des bulletins de paie vous pourrez les masquer. </t>
  </si>
  <si>
    <t xml:space="preserve">tient pas compte de l'exonération fiscale </t>
  </si>
  <si>
    <t>Réponse : non</t>
  </si>
  <si>
    <t xml:space="preserve">Pour aller plus loin concernant le statut de stagaire : </t>
  </si>
  <si>
    <t>https://travail-emploi.gouv.fr/actualites/article/5-questions-reponses-sur-les-stages-en-entreprise</t>
  </si>
  <si>
    <t xml:space="preserve">Cet étudiant  au cours du mois d'Octobre 2025  a bénéficié de 23 tickets restaurant dont la valeur faciale est de 12 euros  (répartis 50 % à la charge du salarié </t>
  </si>
  <si>
    <t xml:space="preserve">Au cours du mois d'Octobre il aura travaillé 23  jours soit </t>
  </si>
  <si>
    <t xml:space="preserve">29*15%*23*7 </t>
  </si>
  <si>
    <t xml:space="preserve">Non applicable </t>
  </si>
  <si>
    <t xml:space="preserve">Stagaire </t>
  </si>
  <si>
    <t>NC</t>
  </si>
  <si>
    <t>Pamela</t>
  </si>
  <si>
    <t xml:space="preserve">2 Avenue du Val Fleuri 92700 Colombes </t>
  </si>
  <si>
    <t xml:space="preserve">Stagaire RH </t>
  </si>
  <si>
    <t xml:space="preserve">Gratification </t>
  </si>
  <si>
    <t xml:space="preserve">ATGR </t>
  </si>
  <si>
    <t xml:space="preserve">3 Rue Paul Vaillant Couturier 92300 Levallois-Perret </t>
  </si>
  <si>
    <t xml:space="preserve">7111C </t>
  </si>
  <si>
    <t xml:space="preserve">La rémunération des stagaires n'est pas imposable dans la limite du SMIC annuel </t>
  </si>
  <si>
    <t xml:space="preserve">Cf Ligne 76 Correction </t>
  </si>
  <si>
    <t xml:space="preserve">2914,07*161/924 </t>
  </si>
  <si>
    <t xml:space="preserve">Pendant 6  mois </t>
  </si>
  <si>
    <t>4,35*669,9=</t>
  </si>
  <si>
    <t xml:space="preserve">4,35  euros par heure * 23 Jours de travail * 7 heures par jour </t>
  </si>
  <si>
    <r>
      <t xml:space="preserve">Signature en Octobre 2025 d'une convention de stage avec un étudiant . Cette convention prévoit une rémunération à l'heure de </t>
    </r>
    <r>
      <rPr>
        <b/>
        <sz val="12"/>
        <color theme="1"/>
        <rFont val="Times New Roman"/>
        <family val="1"/>
      </rPr>
      <t xml:space="preserve">4,35 euros </t>
    </r>
  </si>
  <si>
    <r>
      <t xml:space="preserve">Le plafond horaire de la Sécurité Sociale est de </t>
    </r>
    <r>
      <rPr>
        <b/>
        <sz val="12"/>
        <color theme="1"/>
        <rFont val="Times New Roman"/>
        <family val="1"/>
      </rPr>
      <t xml:space="preserve">29  euros en 2025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</si>
</sst>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s>
  <fonts count="105"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sz val="11"/>
      <color theme="3"/>
      <name val="Calibri"/>
      <family val="2"/>
      <scheme val="minor"/>
    </font>
    <font>
      <b/>
      <sz val="12"/>
      <name val="Arial"/>
      <family val="2"/>
    </font>
    <font>
      <b/>
      <sz val="12"/>
      <name val="Calibri"/>
      <family val="2"/>
      <scheme val="minor"/>
    </font>
    <font>
      <b/>
      <sz val="12"/>
      <color theme="0"/>
      <name val="Times New Roman"/>
      <family val="1"/>
    </font>
    <font>
      <b/>
      <sz val="11"/>
      <color rgb="FFF35632"/>
      <name val="Arial"/>
      <family val="2"/>
    </font>
    <font>
      <sz val="11"/>
      <name val="Times New Roman"/>
      <family val="1"/>
    </font>
  </fonts>
  <fills count="13">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6">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xf numFmtId="43" fontId="18" fillId="0" borderId="0" applyFont="0" applyFill="0" applyBorder="0" applyAlignment="0" applyProtection="0"/>
  </cellStyleXfs>
  <cellXfs count="1004">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66" fontId="18"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3" fontId="34" fillId="0" borderId="1" xfId="1" applyFont="1" applyBorder="1"/>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0" fontId="33" fillId="0" borderId="10" xfId="0"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0" fontId="50" fillId="0" borderId="0" xfId="0" quotePrefix="1" applyFont="1"/>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6" fillId="0" borderId="0" xfId="0" applyFont="1" applyAlignment="1">
      <alignment horizontal="left"/>
    </xf>
    <xf numFmtId="0" fontId="56" fillId="0" borderId="0" xfId="0" applyFont="1" applyAlignment="1">
      <alignment horizontal="center"/>
    </xf>
    <xf numFmtId="165" fontId="56"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6" fillId="0" borderId="0" xfId="0" applyNumberFormat="1" applyFont="1" applyAlignment="1">
      <alignment horizontal="right"/>
    </xf>
    <xf numFmtId="176" fontId="56"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4"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9"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9" xfId="0" applyFont="1" applyBorder="1" applyAlignment="1">
      <alignment horizont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60"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1"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62" fillId="0" borderId="1" xfId="2" applyFont="1" applyBorder="1" applyAlignment="1">
      <alignment horizontal="center" vertical="center" wrapText="1"/>
    </xf>
    <xf numFmtId="0" fontId="62"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4"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4" fontId="58"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6"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0" fontId="33" fillId="0" borderId="13" xfId="0" applyFont="1" applyBorder="1" applyAlignment="1">
      <alignment horizontal="center"/>
    </xf>
    <xf numFmtId="0" fontId="33" fillId="0" borderId="8" xfId="0" applyFont="1" applyBorder="1" applyAlignment="1">
      <alignment horizontal="center"/>
    </xf>
    <xf numFmtId="43" fontId="33" fillId="2" borderId="1" xfId="1" applyFont="1" applyFill="1" applyBorder="1" applyAlignment="1">
      <alignment horizontal="center"/>
    </xf>
    <xf numFmtId="2" fontId="33" fillId="2" borderId="1" xfId="0" applyNumberFormat="1" applyFont="1" applyFill="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6"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0" fontId="36" fillId="0" borderId="1" xfId="0" applyFont="1" applyBorder="1" applyAlignment="1">
      <alignment horizontal="center"/>
    </xf>
    <xf numFmtId="0" fontId="69"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70" fillId="0" borderId="1" xfId="0" applyNumberFormat="1" applyFont="1" applyBorder="1" applyAlignment="1">
      <alignment horizontal="center" vertical="center"/>
    </xf>
    <xf numFmtId="10" fontId="70"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8" fontId="70" fillId="0" borderId="1" xfId="0" applyNumberFormat="1" applyFont="1" applyBorder="1" applyAlignment="1">
      <alignment horizontal="center" vertical="center"/>
    </xf>
    <xf numFmtId="165" fontId="28" fillId="0" borderId="1" xfId="0" applyNumberFormat="1" applyFont="1" applyBorder="1" applyAlignment="1">
      <alignment horizontal="center" vertical="center"/>
    </xf>
    <xf numFmtId="165" fontId="70"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70" fillId="0" borderId="0" xfId="0" applyNumberFormat="1" applyFont="1" applyAlignment="1">
      <alignment horizontal="center" vertical="center"/>
    </xf>
    <xf numFmtId="168" fontId="70" fillId="0" borderId="0" xfId="0" applyNumberFormat="1" applyFont="1" applyAlignment="1">
      <alignment horizontal="center" vertical="center"/>
    </xf>
    <xf numFmtId="165" fontId="28" fillId="0" borderId="0" xfId="0" applyNumberFormat="1" applyFont="1" applyAlignment="1">
      <alignment horizontal="center" vertical="center"/>
    </xf>
    <xf numFmtId="165" fontId="70" fillId="0" borderId="0" xfId="0" applyNumberFormat="1" applyFont="1" applyAlignment="1">
      <alignment horizontal="center" vertical="center"/>
    </xf>
    <xf numFmtId="4" fontId="28" fillId="0" borderId="0" xfId="0" applyNumberFormat="1" applyFont="1" applyAlignment="1">
      <alignment horizontal="center" vertical="center"/>
    </xf>
    <xf numFmtId="0" fontId="72"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4" fontId="67"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6" fillId="0" borderId="1" xfId="2" applyNumberFormat="1" applyFont="1" applyBorder="1" applyAlignment="1">
      <alignment horizontal="center" vertical="center" wrapText="1"/>
    </xf>
    <xf numFmtId="4" fontId="67" fillId="0" borderId="1" xfId="2" applyNumberFormat="1" applyFont="1" applyBorder="1" applyAlignment="1">
      <alignment horizontal="center" vertical="center" wrapText="1"/>
    </xf>
    <xf numFmtId="0" fontId="74"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9" xfId="4" applyFont="1" applyBorder="1" applyAlignment="1">
      <alignment horizontal="center" vertical="center" wrapText="1"/>
    </xf>
    <xf numFmtId="0" fontId="19" fillId="0" borderId="1" xfId="4" applyFont="1" applyBorder="1" applyAlignment="1">
      <alignment horizontal="center" vertical="center" wrapText="1"/>
    </xf>
    <xf numFmtId="0" fontId="75" fillId="0" borderId="9" xfId="0" applyFont="1" applyBorder="1" applyAlignment="1">
      <alignment horizontal="center" vertical="center" wrapText="1"/>
    </xf>
    <xf numFmtId="2" fontId="76" fillId="0" borderId="1" xfId="4" applyNumberFormat="1" applyFont="1" applyBorder="1" applyAlignment="1">
      <alignment horizontal="center" vertical="center" wrapText="1"/>
    </xf>
    <xf numFmtId="2" fontId="18" fillId="0" borderId="1" xfId="4" applyNumberFormat="1" applyBorder="1" applyAlignment="1">
      <alignment horizontal="center" vertical="center" wrapText="1"/>
    </xf>
    <xf numFmtId="43" fontId="18" fillId="0" borderId="1" xfId="1" applyFill="1" applyBorder="1" applyAlignment="1">
      <alignment horizontal="center" vertical="center" wrapText="1"/>
    </xf>
    <xf numFmtId="43" fontId="25" fillId="0" borderId="1" xfId="1" applyFont="1" applyFill="1" applyBorder="1" applyAlignment="1">
      <alignment horizontal="center" vertical="center" wrapText="1"/>
    </xf>
    <xf numFmtId="43" fontId="78" fillId="0" borderId="1" xfId="1" applyFont="1" applyFill="1" applyBorder="1" applyAlignment="1">
      <alignment horizontal="center" vertical="center" wrapText="1"/>
    </xf>
    <xf numFmtId="0" fontId="77" fillId="0" borderId="0" xfId="0" applyFont="1"/>
    <xf numFmtId="2" fontId="18" fillId="0" borderId="0" xfId="4" applyNumberFormat="1" applyAlignment="1">
      <alignment horizontal="center" vertical="center" wrapText="1"/>
    </xf>
    <xf numFmtId="2" fontId="18" fillId="0" borderId="13" xfId="4" applyNumberFormat="1" applyBorder="1" applyAlignment="1">
      <alignment horizontal="center" vertical="center" wrapText="1"/>
    </xf>
    <xf numFmtId="0" fontId="79" fillId="0" borderId="1" xfId="4" applyFont="1" applyBorder="1" applyAlignment="1">
      <alignment horizontal="center" vertical="center" wrapText="1"/>
    </xf>
    <xf numFmtId="43" fontId="79" fillId="0" borderId="1" xfId="1" applyFont="1" applyFill="1" applyBorder="1" applyAlignment="1">
      <alignment horizontal="center" vertical="center" wrapText="1"/>
    </xf>
    <xf numFmtId="14" fontId="49"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9" fillId="8" borderId="1" xfId="0" applyNumberFormat="1"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9"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8" borderId="10" xfId="0" applyFont="1" applyFill="1" applyBorder="1" applyAlignment="1">
      <alignment horizontal="center" vertical="center" wrapText="1"/>
    </xf>
    <xf numFmtId="0" fontId="0" fillId="0" borderId="2" xfId="0" applyBorder="1" applyAlignment="1">
      <alignment horizontal="center" vertical="center" wrapText="1"/>
    </xf>
    <xf numFmtId="43" fontId="33" fillId="0" borderId="1" xfId="0" applyNumberFormat="1" applyFont="1" applyBorder="1"/>
    <xf numFmtId="0" fontId="35" fillId="0" borderId="0" xfId="0" applyFont="1"/>
    <xf numFmtId="14" fontId="34" fillId="2" borderId="1" xfId="0" applyNumberFormat="1" applyFont="1" applyFill="1" applyBorder="1" applyAlignment="1">
      <alignment horizontal="center" vertical="center" wrapText="1"/>
    </xf>
    <xf numFmtId="43" fontId="28" fillId="2" borderId="1" xfId="1" applyFont="1" applyFill="1" applyBorder="1"/>
    <xf numFmtId="43" fontId="28" fillId="2" borderId="1" xfId="1" applyFont="1" applyFill="1" applyBorder="1" applyAlignment="1">
      <alignment horizontal="left"/>
    </xf>
    <xf numFmtId="10" fontId="28" fillId="2" borderId="1" xfId="0" applyNumberFormat="1" applyFont="1" applyFill="1" applyBorder="1" applyAlignment="1">
      <alignment horizontal="center" vertical="center"/>
    </xf>
    <xf numFmtId="43" fontId="39" fillId="0" borderId="2" xfId="0" applyNumberFormat="1" applyFont="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43" fontId="34" fillId="0" borderId="1" xfId="1" applyFont="1" applyBorder="1" applyAlignment="1">
      <alignment horizontal="center" vertical="center"/>
    </xf>
    <xf numFmtId="9" fontId="34" fillId="0" borderId="1" xfId="3" applyFont="1" applyBorder="1" applyAlignment="1">
      <alignment horizontal="center" vertical="center"/>
    </xf>
    <xf numFmtId="10" fontId="83" fillId="0" borderId="9" xfId="3" applyNumberFormat="1" applyFont="1" applyBorder="1" applyAlignment="1">
      <alignment horizontal="center" vertical="center"/>
    </xf>
    <xf numFmtId="43" fontId="84" fillId="0" borderId="1" xfId="1" applyFont="1" applyBorder="1" applyAlignment="1">
      <alignment horizontal="center" vertical="center"/>
    </xf>
    <xf numFmtId="43" fontId="83" fillId="0" borderId="1" xfId="1" applyFont="1" applyBorder="1" applyAlignment="1">
      <alignment horizontal="center" vertical="center"/>
    </xf>
    <xf numFmtId="0" fontId="81" fillId="0" borderId="0" xfId="0" applyFont="1"/>
    <xf numFmtId="171" fontId="84" fillId="0" borderId="9" xfId="1" applyNumberFormat="1" applyFont="1" applyBorder="1" applyAlignment="1">
      <alignment horizontal="right" vertical="center" wrapText="1"/>
    </xf>
    <xf numFmtId="171" fontId="84" fillId="0" borderId="1" xfId="1" applyNumberFormat="1" applyFont="1" applyBorder="1" applyAlignment="1">
      <alignment horizontal="right" vertical="center" wrapText="1"/>
    </xf>
    <xf numFmtId="43" fontId="84"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50" fillId="0" borderId="0" xfId="0" applyFont="1"/>
    <xf numFmtId="0" fontId="16"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73"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8" fillId="0" borderId="1" xfId="4" applyNumberFormat="1" applyFont="1" applyBorder="1" applyAlignment="1">
      <alignment horizontal="center" vertical="center" wrapText="1"/>
    </xf>
    <xf numFmtId="1" fontId="85" fillId="11" borderId="9" xfId="4" applyNumberFormat="1" applyFont="1" applyFill="1" applyBorder="1" applyAlignment="1">
      <alignment horizontal="center" vertical="center" wrapText="1"/>
    </xf>
    <xf numFmtId="0" fontId="89" fillId="11" borderId="1" xfId="0" applyFont="1" applyFill="1" applyBorder="1" applyAlignment="1">
      <alignment horizontal="center" vertical="center" wrapText="1"/>
    </xf>
    <xf numFmtId="43" fontId="25" fillId="0" borderId="1" xfId="1" quotePrefix="1" applyFont="1" applyFill="1" applyBorder="1" applyAlignment="1">
      <alignment horizontal="center" vertical="center" wrapText="1"/>
    </xf>
    <xf numFmtId="2" fontId="25" fillId="0" borderId="1" xfId="4" applyNumberFormat="1" applyFont="1" applyBorder="1" applyAlignment="1">
      <alignment horizontal="center" vertical="center" wrapText="1"/>
    </xf>
    <xf numFmtId="0" fontId="49" fillId="0" borderId="13" xfId="0" applyFont="1" applyBorder="1" applyAlignment="1">
      <alignment horizontal="center" vertical="center" wrapText="1"/>
    </xf>
    <xf numFmtId="14" fontId="49" fillId="8" borderId="13" xfId="0" applyNumberFormat="1" applyFont="1" applyFill="1" applyBorder="1" applyAlignment="1">
      <alignment horizontal="center" vertical="center" wrapText="1"/>
    </xf>
    <xf numFmtId="0" fontId="28" fillId="0" borderId="1" xfId="0" applyFont="1" applyBorder="1" applyAlignment="1">
      <alignment horizontal="center" vertical="center"/>
    </xf>
    <xf numFmtId="0" fontId="91" fillId="0" borderId="0" xfId="0" applyFont="1" applyAlignment="1">
      <alignment horizontal="center" vertical="center" wrapText="1"/>
    </xf>
    <xf numFmtId="0" fontId="0" fillId="0" borderId="3" xfId="0" applyBorder="1"/>
    <xf numFmtId="0" fontId="33"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9" fontId="28" fillId="2" borderId="1" xfId="0" applyNumberFormat="1" applyFont="1" applyFill="1" applyBorder="1" applyAlignment="1">
      <alignment horizontal="center" vertical="center"/>
    </xf>
    <xf numFmtId="0" fontId="28" fillId="2" borderId="1" xfId="0" applyFont="1" applyFill="1" applyBorder="1" applyAlignment="1">
      <alignment horizontal="center" vertical="center"/>
    </xf>
    <xf numFmtId="43" fontId="0" fillId="2" borderId="1" xfId="0" applyNumberFormat="1" applyFill="1" applyBorder="1" applyAlignment="1">
      <alignment horizontal="center" vertical="center" wrapText="1"/>
    </xf>
    <xf numFmtId="0" fontId="12" fillId="0" borderId="0" xfId="0" applyFont="1"/>
    <xf numFmtId="0" fontId="94" fillId="0" borderId="0" xfId="0" applyFont="1"/>
    <xf numFmtId="0" fontId="95" fillId="0" borderId="0" xfId="0" applyFont="1"/>
    <xf numFmtId="4" fontId="94" fillId="0" borderId="0" xfId="0" applyNumberFormat="1" applyFont="1"/>
    <xf numFmtId="0" fontId="49" fillId="0" borderId="0" xfId="0" applyFont="1"/>
    <xf numFmtId="0" fontId="96" fillId="0" borderId="0" xfId="0" applyFont="1"/>
    <xf numFmtId="0" fontId="0" fillId="0" borderId="0" xfId="0" applyAlignment="1">
      <alignment horizontal="left"/>
    </xf>
    <xf numFmtId="0" fontId="26" fillId="0" borderId="0" xfId="0" applyFont="1" applyAlignment="1">
      <alignment horizontal="left"/>
    </xf>
    <xf numFmtId="14" fontId="33" fillId="0" borderId="9" xfId="0" applyNumberFormat="1" applyFont="1" applyBorder="1" applyAlignment="1">
      <alignment horizontal="center"/>
    </xf>
    <xf numFmtId="43" fontId="33" fillId="2" borderId="9" xfId="1" applyFont="1" applyFill="1" applyBorder="1" applyAlignment="1">
      <alignment horizontal="center"/>
    </xf>
    <xf numFmtId="0" fontId="33" fillId="0" borderId="8" xfId="0" quotePrefix="1" applyFont="1" applyBorder="1" applyAlignment="1">
      <alignment horizontal="center"/>
    </xf>
    <xf numFmtId="14" fontId="33" fillId="0" borderId="1" xfId="0" applyNumberFormat="1" applyFont="1" applyBorder="1" applyAlignment="1">
      <alignment horizontal="center"/>
    </xf>
    <xf numFmtId="0" fontId="33" fillId="0" borderId="9" xfId="0" quotePrefix="1" applyFont="1" applyBorder="1" applyAlignment="1">
      <alignment horizontal="center"/>
    </xf>
    <xf numFmtId="0" fontId="33" fillId="0" borderId="14" xfId="0" applyFont="1" applyBorder="1" applyAlignment="1">
      <alignment horizontal="center" vertical="center" wrapText="1"/>
    </xf>
    <xf numFmtId="0" fontId="58"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97" fillId="0" borderId="1" xfId="0" applyFont="1" applyBorder="1" applyAlignment="1">
      <alignment horizontal="center" vertical="center" wrapText="1"/>
    </xf>
    <xf numFmtId="2" fontId="50" fillId="0" borderId="1" xfId="0" applyNumberFormat="1" applyFont="1" applyBorder="1" applyAlignment="1">
      <alignment horizontal="center" vertical="center" wrapText="1"/>
    </xf>
    <xf numFmtId="164" fontId="34" fillId="2" borderId="1" xfId="0" applyNumberFormat="1" applyFont="1" applyFill="1" applyBorder="1" applyAlignment="1">
      <alignment horizontal="center" vertical="center" wrapText="1"/>
    </xf>
    <xf numFmtId="43" fontId="40"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164" fontId="33" fillId="0" borderId="1" xfId="0" applyNumberFormat="1" applyFont="1" applyBorder="1" applyAlignment="1">
      <alignment horizontal="center" vertical="center" wrapText="1"/>
    </xf>
    <xf numFmtId="43" fontId="33" fillId="0" borderId="1" xfId="0" applyNumberFormat="1" applyFont="1" applyBorder="1" applyAlignment="1">
      <alignment horizontal="center" vertical="center" wrapText="1"/>
    </xf>
    <xf numFmtId="0" fontId="33" fillId="0" borderId="0" xfId="0" applyFont="1" applyProtection="1">
      <protection locked="0"/>
    </xf>
    <xf numFmtId="2" fontId="0" fillId="0" borderId="0" xfId="0" applyNumberFormat="1"/>
    <xf numFmtId="0" fontId="85" fillId="12" borderId="0" xfId="0" quotePrefix="1" applyFont="1" applyFill="1"/>
    <xf numFmtId="10" fontId="3" fillId="0" borderId="10" xfId="3" quotePrefix="1" applyNumberFormat="1" applyFont="1" applyFill="1" applyBorder="1" applyAlignment="1">
      <alignment horizontal="center" vertical="center"/>
    </xf>
    <xf numFmtId="0" fontId="0" fillId="2" borderId="0" xfId="0" applyFill="1"/>
    <xf numFmtId="0" fontId="50" fillId="2" borderId="0" xfId="0" applyFont="1" applyFill="1"/>
    <xf numFmtId="1" fontId="0" fillId="2" borderId="9" xfId="4" applyNumberFormat="1" applyFont="1" applyFill="1" applyBorder="1" applyAlignment="1">
      <alignment horizontal="center" vertical="center" wrapText="1"/>
    </xf>
    <xf numFmtId="0" fontId="77" fillId="2" borderId="1" xfId="0" applyFont="1" applyFill="1" applyBorder="1" applyAlignment="1">
      <alignment horizontal="center" vertical="center" wrapText="1"/>
    </xf>
    <xf numFmtId="14" fontId="19"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100" fillId="0" borderId="0" xfId="0" applyFont="1" applyAlignment="1">
      <alignment horizontal="center" vertical="center" wrapText="1"/>
    </xf>
    <xf numFmtId="14" fontId="19"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74" fillId="0" borderId="0" xfId="0" applyFont="1" applyAlignment="1">
      <alignment horizontal="center" vertical="center" wrapText="1"/>
    </xf>
    <xf numFmtId="0" fontId="47" fillId="8" borderId="1" xfId="4" applyFont="1" applyFill="1" applyBorder="1" applyAlignment="1">
      <alignment horizontal="center" vertical="center" wrapText="1"/>
    </xf>
    <xf numFmtId="0" fontId="47" fillId="8" borderId="11" xfId="4" applyFont="1" applyFill="1" applyBorder="1" applyAlignment="1">
      <alignment horizontal="center" vertical="center" wrapText="1"/>
    </xf>
    <xf numFmtId="0" fontId="47" fillId="8" borderId="14" xfId="4" applyFont="1" applyFill="1" applyBorder="1" applyAlignment="1">
      <alignment horizontal="center" vertical="center" wrapText="1"/>
    </xf>
    <xf numFmtId="0" fontId="78" fillId="0" borderId="1" xfId="0" applyFont="1" applyBorder="1" applyAlignment="1">
      <alignment horizontal="center" vertical="center" wrapText="1"/>
    </xf>
    <xf numFmtId="0" fontId="88" fillId="0" borderId="1" xfId="4" applyFont="1" applyBorder="1" applyAlignment="1">
      <alignment horizontal="center" vertical="center" wrapText="1"/>
    </xf>
    <xf numFmtId="14" fontId="25" fillId="0" borderId="1" xfId="4" applyNumberFormat="1" applyFont="1" applyBorder="1" applyAlignment="1">
      <alignment horizontal="center" vertical="center" wrapText="1"/>
    </xf>
    <xf numFmtId="1" fontId="39" fillId="2" borderId="1" xfId="4" applyNumberFormat="1" applyFont="1" applyFill="1" applyBorder="1" applyAlignment="1">
      <alignment horizontal="center" vertical="center" wrapText="1"/>
    </xf>
    <xf numFmtId="2" fontId="39" fillId="8" borderId="1" xfId="4"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2" fontId="39" fillId="2" borderId="1" xfId="4" applyNumberFormat="1" applyFont="1" applyFill="1" applyBorder="1" applyAlignment="1">
      <alignment horizontal="center" vertical="center" wrapText="1"/>
    </xf>
    <xf numFmtId="2" fontId="39" fillId="0" borderId="1" xfId="4"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39" fillId="0" borderId="1" xfId="4" applyFont="1" applyBorder="1" applyAlignment="1">
      <alignment horizontal="center" vertical="center" wrapText="1"/>
    </xf>
    <xf numFmtId="14" fontId="39" fillId="0" borderId="1" xfId="4" applyNumberFormat="1" applyFont="1" applyBorder="1" applyAlignment="1">
      <alignment horizontal="center" vertical="center" wrapText="1"/>
    </xf>
    <xf numFmtId="0" fontId="3" fillId="0" borderId="1" xfId="4" applyFont="1" applyBorder="1" applyAlignment="1">
      <alignment horizontal="center" vertical="center" wrapText="1"/>
    </xf>
    <xf numFmtId="2" fontId="34" fillId="0" borderId="2" xfId="4" applyNumberFormat="1" applyFont="1" applyBorder="1" applyAlignment="1">
      <alignment horizontal="center" vertical="center" wrapText="1"/>
    </xf>
    <xf numFmtId="2" fontId="34" fillId="0" borderId="1" xfId="4" applyNumberFormat="1" applyFont="1" applyBorder="1" applyAlignment="1">
      <alignment horizontal="center" vertical="center" wrapText="1"/>
    </xf>
    <xf numFmtId="0" fontId="34" fillId="0" borderId="1" xfId="4" applyFont="1" applyBorder="1" applyAlignment="1">
      <alignment horizontal="center" vertical="center" wrapText="1"/>
    </xf>
    <xf numFmtId="2" fontId="40" fillId="0" borderId="1" xfId="4" applyNumberFormat="1" applyFont="1" applyBorder="1" applyAlignment="1">
      <alignment horizontal="center" vertical="center" wrapText="1"/>
    </xf>
    <xf numFmtId="2" fontId="34" fillId="0" borderId="0" xfId="4" applyNumberFormat="1" applyFont="1" applyAlignment="1">
      <alignment horizontal="center" vertical="center" wrapText="1"/>
    </xf>
    <xf numFmtId="0" fontId="12" fillId="0" borderId="1" xfId="4" applyFont="1" applyBorder="1" applyAlignment="1">
      <alignment horizontal="center" vertical="center" wrapText="1"/>
    </xf>
    <xf numFmtId="0" fontId="12" fillId="0" borderId="0" xfId="4" applyFont="1" applyAlignment="1">
      <alignment horizontal="center" vertical="center" wrapText="1"/>
    </xf>
    <xf numFmtId="2" fontId="46" fillId="0" borderId="0" xfId="4" applyNumberFormat="1" applyFont="1" applyAlignment="1">
      <alignment horizontal="center" vertical="center" wrapText="1"/>
    </xf>
    <xf numFmtId="43" fontId="33" fillId="2" borderId="1" xfId="1" applyFont="1" applyFill="1" applyBorder="1" applyAlignment="1">
      <alignment vertical="center" wrapText="1"/>
    </xf>
    <xf numFmtId="0" fontId="35" fillId="0" borderId="1" xfId="0" applyFont="1" applyBorder="1" applyAlignment="1">
      <alignment horizontal="center" vertical="center"/>
    </xf>
    <xf numFmtId="0" fontId="33" fillId="0" borderId="1" xfId="0" applyFont="1" applyBorder="1" applyAlignment="1">
      <alignment vertical="center"/>
    </xf>
    <xf numFmtId="43" fontId="33" fillId="0" borderId="0" xfId="1" applyFont="1" applyBorder="1" applyAlignment="1">
      <alignment vertical="center" wrapText="1"/>
    </xf>
    <xf numFmtId="164" fontId="33" fillId="0" borderId="1" xfId="0" applyNumberFormat="1" applyFont="1" applyBorder="1" applyAlignment="1">
      <alignment vertical="center"/>
    </xf>
    <xf numFmtId="164" fontId="35" fillId="0" borderId="1" xfId="0" applyNumberFormat="1" applyFont="1" applyBorder="1" applyAlignment="1">
      <alignment vertical="center"/>
    </xf>
    <xf numFmtId="0" fontId="33" fillId="0" borderId="1" xfId="0" applyFont="1" applyBorder="1" applyAlignment="1">
      <alignment horizontal="right" vertical="center"/>
    </xf>
    <xf numFmtId="43" fontId="33" fillId="0" borderId="1" xfId="1" applyFont="1" applyBorder="1" applyAlignment="1">
      <alignment horizontal="center" vertical="center"/>
    </xf>
    <xf numFmtId="0" fontId="35" fillId="0" borderId="1" xfId="0" applyFont="1" applyBorder="1" applyAlignment="1">
      <alignment horizontal="right" vertical="center"/>
    </xf>
    <xf numFmtId="43" fontId="35" fillId="0" borderId="1" xfId="1" applyFont="1" applyBorder="1" applyAlignment="1">
      <alignment horizontal="center" vertical="center"/>
    </xf>
    <xf numFmtId="43" fontId="33" fillId="0" borderId="1" xfId="1" applyFont="1" applyBorder="1" applyAlignment="1">
      <alignment horizontal="center" vertical="center" wrapText="1"/>
    </xf>
    <xf numFmtId="43" fontId="33" fillId="0" borderId="0" xfId="1" applyFont="1" applyAlignment="1"/>
    <xf numFmtId="2" fontId="25" fillId="0" borderId="0" xfId="4" applyNumberFormat="1" applyFont="1" applyAlignment="1">
      <alignment horizontal="center" vertical="center" wrapText="1"/>
    </xf>
    <xf numFmtId="43" fontId="18" fillId="0" borderId="0" xfId="1" applyFill="1" applyBorder="1" applyAlignment="1">
      <alignment horizontal="center" vertical="center" wrapText="1"/>
    </xf>
    <xf numFmtId="43" fontId="79" fillId="2" borderId="1" xfId="0" applyNumberFormat="1" applyFont="1" applyFill="1" applyBorder="1" applyAlignment="1">
      <alignment horizontal="center" vertical="center" wrapText="1"/>
    </xf>
    <xf numFmtId="0" fontId="34" fillId="0" borderId="1" xfId="0" applyFont="1" applyBorder="1" applyAlignment="1">
      <alignment vertical="center" wrapText="1"/>
    </xf>
    <xf numFmtId="9" fontId="34" fillId="0" borderId="1" xfId="0" applyNumberFormat="1" applyFont="1" applyBorder="1" applyAlignment="1">
      <alignment vertical="center" wrapText="1"/>
    </xf>
    <xf numFmtId="0" fontId="34" fillId="0" borderId="0" xfId="0" applyFont="1" applyAlignment="1">
      <alignment vertical="center" wrapText="1"/>
    </xf>
    <xf numFmtId="0" fontId="40" fillId="0" borderId="0" xfId="0" applyFont="1" applyAlignment="1">
      <alignment vertical="center"/>
    </xf>
    <xf numFmtId="0" fontId="34" fillId="0" borderId="1" xfId="0" quotePrefix="1" applyFont="1" applyBorder="1" applyAlignment="1">
      <alignment vertical="center" wrapText="1"/>
    </xf>
    <xf numFmtId="2" fontId="34" fillId="0" borderId="1" xfId="0" applyNumberFormat="1" applyFont="1" applyBorder="1" applyAlignment="1">
      <alignment horizontal="center"/>
    </xf>
    <xf numFmtId="0" fontId="28" fillId="2" borderId="1" xfId="0" applyFont="1" applyFill="1" applyBorder="1" applyAlignment="1">
      <alignment horizontal="center"/>
    </xf>
    <xf numFmtId="0" fontId="34" fillId="0" borderId="0" xfId="0" applyFont="1" applyAlignment="1">
      <alignment horizontal="left"/>
    </xf>
    <xf numFmtId="0" fontId="29" fillId="0" borderId="1" xfId="0" applyFont="1" applyBorder="1"/>
    <xf numFmtId="0" fontId="34" fillId="0" borderId="1" xfId="0" applyFont="1" applyBorder="1"/>
    <xf numFmtId="0" fontId="34" fillId="0" borderId="0" xfId="0" applyFont="1" applyAlignment="1">
      <alignment vertical="center"/>
    </xf>
    <xf numFmtId="0" fontId="40" fillId="0" borderId="1" xfId="0" applyFont="1" applyBorder="1"/>
    <xf numFmtId="0" fontId="34" fillId="2" borderId="1" xfId="0" applyFont="1" applyFill="1" applyBorder="1" applyAlignment="1">
      <alignment horizontal="center"/>
    </xf>
    <xf numFmtId="10" fontId="34" fillId="2" borderId="1" xfId="0" applyNumberFormat="1" applyFont="1" applyFill="1" applyBorder="1" applyAlignment="1">
      <alignment horizontal="center"/>
    </xf>
    <xf numFmtId="9" fontId="34" fillId="0" borderId="1" xfId="0" applyNumberFormat="1" applyFont="1" applyBorder="1"/>
    <xf numFmtId="0" fontId="40" fillId="0" borderId="0" xfId="0" applyFont="1" applyAlignment="1">
      <alignment horizontal="left"/>
    </xf>
    <xf numFmtId="0" fontId="103" fillId="0" borderId="0" xfId="0" applyFont="1"/>
    <xf numFmtId="0" fontId="104" fillId="0" borderId="0" xfId="0" applyFont="1"/>
    <xf numFmtId="0" fontId="16" fillId="0" borderId="2" xfId="2" applyFont="1" applyBorder="1" applyAlignment="1">
      <alignment horizontal="center" vertical="center" wrapText="1"/>
    </xf>
    <xf numFmtId="4" fontId="17" fillId="0" borderId="2" xfId="2" applyNumberFormat="1" applyFont="1" applyBorder="1" applyAlignment="1">
      <alignment horizontal="center" vertical="center" wrapText="1"/>
    </xf>
    <xf numFmtId="0" fontId="28" fillId="2" borderId="1" xfId="0" applyFont="1" applyFill="1" applyBorder="1"/>
    <xf numFmtId="0" fontId="28" fillId="2" borderId="1" xfId="0" applyFont="1" applyFill="1" applyBorder="1" applyAlignment="1">
      <alignment horizontal="center" vertical="center" wrapText="1"/>
    </xf>
    <xf numFmtId="14" fontId="39" fillId="0" borderId="2" xfId="0" applyNumberFormat="1" applyFont="1" applyBorder="1" applyAlignment="1">
      <alignment horizontal="center" vertical="center" wrapText="1"/>
    </xf>
    <xf numFmtId="0" fontId="33" fillId="0" borderId="12" xfId="0" applyFont="1" applyBorder="1" applyAlignment="1">
      <alignment horizontal="center" vertical="center" wrapText="1"/>
    </xf>
    <xf numFmtId="0" fontId="28" fillId="0" borderId="4" xfId="0" applyFont="1" applyBorder="1"/>
    <xf numFmtId="0" fontId="28" fillId="0" borderId="7" xfId="0" applyFont="1" applyBorder="1"/>
    <xf numFmtId="0" fontId="24" fillId="0" borderId="0" xfId="0" applyFont="1" applyAlignment="1">
      <alignment horizontal="left"/>
    </xf>
    <xf numFmtId="43" fontId="0" fillId="2" borderId="1" xfId="1" applyFont="1" applyFill="1" applyBorder="1"/>
    <xf numFmtId="43" fontId="0" fillId="0" borderId="0" xfId="1" applyFont="1"/>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5" fillId="0" borderId="0" xfId="0" applyFont="1" applyAlignment="1">
      <alignment horizontal="left"/>
    </xf>
    <xf numFmtId="0" fontId="90" fillId="2" borderId="3" xfId="0" applyFont="1" applyFill="1" applyBorder="1" applyAlignment="1">
      <alignment horizontal="center" vertical="center" wrapText="1"/>
    </xf>
    <xf numFmtId="0" fontId="90" fillId="2" borderId="5" xfId="0" applyFont="1" applyFill="1" applyBorder="1" applyAlignment="1">
      <alignment horizontal="center" vertical="center" wrapText="1"/>
    </xf>
    <xf numFmtId="0" fontId="90" fillId="2" borderId="11" xfId="0" applyFont="1" applyFill="1" applyBorder="1" applyAlignment="1">
      <alignment horizontal="center" vertical="center" wrapText="1"/>
    </xf>
    <xf numFmtId="0" fontId="90" fillId="2" borderId="12" xfId="0" applyFont="1" applyFill="1" applyBorder="1" applyAlignment="1">
      <alignment horizontal="center" vertical="center" wrapText="1"/>
    </xf>
    <xf numFmtId="0" fontId="90" fillId="2" borderId="6" xfId="0" applyFont="1" applyFill="1" applyBorder="1" applyAlignment="1">
      <alignment horizontal="center" vertical="center" wrapText="1"/>
    </xf>
    <xf numFmtId="0" fontId="90" fillId="2" borderId="8" xfId="0" applyFont="1" applyFill="1" applyBorder="1" applyAlignment="1">
      <alignment horizontal="center" vertical="center" wrapText="1"/>
    </xf>
    <xf numFmtId="0" fontId="33"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34" fillId="0" borderId="0" xfId="0" applyFont="1" applyAlignment="1">
      <alignment horizontal="left"/>
    </xf>
    <xf numFmtId="0" fontId="34" fillId="0" borderId="0" xfId="0" applyFont="1" applyAlignment="1">
      <alignment horizontal="right"/>
    </xf>
    <xf numFmtId="0" fontId="34" fillId="0" borderId="12" xfId="0" applyFont="1" applyBorder="1" applyAlignment="1">
      <alignment horizontal="right"/>
    </xf>
    <xf numFmtId="0" fontId="34" fillId="0" borderId="0" xfId="0" applyFont="1" applyAlignment="1">
      <alignment horizontal="center"/>
    </xf>
    <xf numFmtId="0" fontId="34" fillId="0" borderId="12" xfId="0" applyFont="1" applyBorder="1" applyAlignment="1">
      <alignment horizontal="center"/>
    </xf>
    <xf numFmtId="2" fontId="28" fillId="2" borderId="1" xfId="0" applyNumberFormat="1" applyFont="1" applyFill="1" applyBorder="1" applyAlignment="1">
      <alignment horizontal="center" vertical="center"/>
    </xf>
    <xf numFmtId="0" fontId="71" fillId="0" borderId="0" xfId="0" applyFont="1" applyAlignment="1">
      <alignment horizontal="center" vertical="center" wrapText="1"/>
    </xf>
    <xf numFmtId="0" fontId="28"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0" fontId="28" fillId="7" borderId="1" xfId="0" applyFont="1" applyFill="1" applyBorder="1" applyAlignment="1">
      <alignment horizontal="center"/>
    </xf>
    <xf numFmtId="0" fontId="36" fillId="0" borderId="1" xfId="0" applyFont="1" applyBorder="1" applyAlignment="1">
      <alignment horizontal="center" vertical="center" wrapText="1"/>
    </xf>
    <xf numFmtId="0" fontId="10" fillId="0" borderId="1" xfId="0" applyFont="1" applyBorder="1" applyAlignment="1">
      <alignment horizontal="center" vertical="center" wrapText="1"/>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28" fillId="0" borderId="11" xfId="0" applyFont="1" applyBorder="1" applyAlignment="1">
      <alignment horizontal="left" vertical="center" wrapText="1"/>
    </xf>
    <xf numFmtId="0" fontId="28" fillId="0" borderId="0" xfId="0" applyFont="1" applyAlignment="1">
      <alignment horizontal="left" vertical="center" wrapText="1"/>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7" fillId="0" borderId="1"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1" fontId="17" fillId="0" borderId="1" xfId="2" applyNumberFormat="1" applyFont="1" applyBorder="1" applyAlignment="1">
      <alignment horizontal="center"/>
    </xf>
    <xf numFmtId="0" fontId="2" fillId="0" borderId="25" xfId="2" applyFont="1" applyBorder="1" applyAlignment="1">
      <alignment horizontal="center"/>
    </xf>
    <xf numFmtId="0" fontId="2" fillId="0" borderId="19" xfId="2" applyFont="1" applyBorder="1" applyAlignment="1">
      <alignment horizontal="center"/>
    </xf>
    <xf numFmtId="0" fontId="60" fillId="0" borderId="10" xfId="2" applyFont="1" applyBorder="1" applyAlignment="1">
      <alignment horizontal="center"/>
    </xf>
    <xf numFmtId="0" fontId="60" fillId="0" borderId="15" xfId="2" applyFont="1" applyBorder="1" applyAlignment="1">
      <alignment horizontal="center"/>
    </xf>
    <xf numFmtId="0" fontId="60" fillId="0" borderId="9" xfId="2" applyFont="1" applyBorder="1" applyAlignment="1">
      <alignment horizontal="center"/>
    </xf>
    <xf numFmtId="0" fontId="60" fillId="0" borderId="3" xfId="2" applyFont="1" applyBorder="1" applyAlignment="1">
      <alignment horizontal="center"/>
    </xf>
    <xf numFmtId="0" fontId="60" fillId="0" borderId="4" xfId="2" applyFont="1" applyBorder="1" applyAlignment="1">
      <alignment horizontal="center"/>
    </xf>
    <xf numFmtId="0" fontId="60"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16" fillId="0" borderId="10" xfId="2" applyFont="1" applyBorder="1" applyAlignment="1">
      <alignment horizontal="right" vertical="center" wrapText="1"/>
    </xf>
    <xf numFmtId="0" fontId="16" fillId="0" borderId="15" xfId="2" applyFont="1" applyBorder="1" applyAlignment="1">
      <alignment horizontal="right" vertical="center" wrapText="1"/>
    </xf>
    <xf numFmtId="0" fontId="16" fillId="0" borderId="9" xfId="2" applyFont="1" applyBorder="1" applyAlignment="1">
      <alignment horizontal="right" vertical="center" wrapText="1"/>
    </xf>
    <xf numFmtId="43" fontId="16" fillId="0" borderId="17" xfId="2" quotePrefix="1" applyNumberFormat="1" applyFont="1" applyBorder="1" applyAlignment="1">
      <alignment horizontal="center"/>
    </xf>
    <xf numFmtId="0" fontId="16" fillId="0" borderId="10" xfId="0" applyFont="1" applyBorder="1" applyAlignment="1">
      <alignment horizontal="left"/>
    </xf>
    <xf numFmtId="0" fontId="16" fillId="0" borderId="9" xfId="0" applyFont="1" applyBorder="1" applyAlignment="1">
      <alignment horizontal="left"/>
    </xf>
    <xf numFmtId="14" fontId="17" fillId="0" borderId="11" xfId="0" applyNumberFormat="1" applyFont="1" applyBorder="1" applyAlignment="1">
      <alignment horizontal="center" vertical="center" wrapText="1"/>
    </xf>
    <xf numFmtId="14" fontId="17" fillId="0" borderId="0" xfId="0" applyNumberFormat="1" applyFont="1" applyAlignment="1">
      <alignment horizontal="center" vertical="center" wrapText="1"/>
    </xf>
    <xf numFmtId="14" fontId="17" fillId="0" borderId="12" xfId="0" applyNumberFormat="1" applyFont="1" applyBorder="1" applyAlignment="1">
      <alignment horizontal="center" vertical="center" wrapText="1"/>
    </xf>
    <xf numFmtId="0" fontId="55" fillId="2" borderId="1" xfId="2" applyFont="1" applyFill="1" applyBorder="1" applyAlignment="1">
      <alignment horizontal="center" vertical="center" wrapText="1"/>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7" fillId="0" borderId="1" xfId="0" applyFont="1" applyBorder="1" applyAlignment="1">
      <alignment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60"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0" fillId="0" borderId="10" xfId="0" applyBorder="1" applyAlignment="1">
      <alignment horizontal="center"/>
    </xf>
    <xf numFmtId="0" fontId="0" fillId="0" borderId="9" xfId="0" applyBorder="1" applyAlignment="1">
      <alignment horizontal="center"/>
    </xf>
    <xf numFmtId="0" fontId="4" fillId="0" borderId="0" xfId="0" applyFont="1" applyAlignment="1">
      <alignment horizontal="center"/>
    </xf>
    <xf numFmtId="0" fontId="21" fillId="0" borderId="0" xfId="0" applyFont="1" applyAlignment="1">
      <alignment horizontal="left"/>
    </xf>
    <xf numFmtId="0" fontId="8" fillId="5" borderId="1" xfId="0" applyFont="1" applyFill="1" applyBorder="1" applyAlignment="1">
      <alignment horizontal="center" vertical="center" wrapText="1"/>
    </xf>
    <xf numFmtId="0" fontId="0" fillId="0" borderId="0" xfId="0"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8" fillId="4" borderId="1"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8" fillId="6"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left"/>
    </xf>
    <xf numFmtId="0" fontId="28" fillId="2" borderId="1" xfId="0" applyFont="1" applyFill="1" applyBorder="1" applyAlignment="1">
      <alignment horizontal="left"/>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left"/>
    </xf>
    <xf numFmtId="0" fontId="24" fillId="2" borderId="1" xfId="0" applyFont="1" applyFill="1" applyBorder="1" applyAlignment="1">
      <alignment horizontal="left"/>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1" xfId="0" quotePrefix="1" applyNumberFormat="1" applyFont="1" applyFill="1" applyBorder="1" applyAlignment="1">
      <alignment horizontal="left"/>
    </xf>
    <xf numFmtId="4" fontId="24" fillId="2" borderId="1" xfId="0" applyNumberFormat="1" applyFont="1" applyFill="1" applyBorder="1" applyAlignment="1">
      <alignment horizontal="left"/>
    </xf>
    <xf numFmtId="43" fontId="24" fillId="2" borderId="1" xfId="1" quotePrefix="1" applyFont="1" applyFill="1" applyBorder="1" applyAlignment="1">
      <alignment horizontal="left"/>
    </xf>
    <xf numFmtId="43" fontId="24" fillId="2" borderId="1" xfId="1" applyFont="1" applyFill="1" applyBorder="1" applyAlignment="1">
      <alignment horizontal="left"/>
    </xf>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0" xfId="0" applyFont="1" applyAlignment="1">
      <alignment horizontal="center"/>
    </xf>
    <xf numFmtId="0" fontId="26" fillId="0" borderId="12" xfId="0" applyFont="1" applyBorder="1" applyAlignment="1">
      <alignment horizontal="center"/>
    </xf>
    <xf numFmtId="0" fontId="6" fillId="0" borderId="9" xfId="0" applyFont="1" applyBorder="1" applyAlignment="1">
      <alignment horizontal="left" vertical="center"/>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3" fillId="0" borderId="1" xfId="0" applyFont="1" applyBorder="1" applyAlignment="1">
      <alignment vertical="center" wrapText="1"/>
    </xf>
    <xf numFmtId="0" fontId="65" fillId="5" borderId="7" xfId="0" applyFont="1" applyFill="1" applyBorder="1" applyAlignment="1">
      <alignment horizontal="center" vertical="center" wrapText="1"/>
    </xf>
    <xf numFmtId="0" fontId="65" fillId="5" borderId="8" xfId="0" applyFont="1" applyFill="1" applyBorder="1" applyAlignment="1">
      <alignment horizontal="center" vertical="center" wrapText="1"/>
    </xf>
    <xf numFmtId="0" fontId="3" fillId="0" borderId="15" xfId="0" applyFont="1" applyBorder="1" applyAlignment="1">
      <alignment horizontal="left"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164" fontId="41" fillId="0" borderId="1" xfId="0" applyNumberFormat="1" applyFont="1" applyBorder="1" applyAlignment="1">
      <alignment horizontal="center"/>
    </xf>
    <xf numFmtId="0" fontId="41" fillId="0" borderId="1" xfId="0" applyFont="1" applyBorder="1" applyAlignment="1">
      <alignment horizontal="center"/>
    </xf>
    <xf numFmtId="0" fontId="42" fillId="0" borderId="1" xfId="0" applyFont="1" applyBorder="1" applyAlignment="1">
      <alignment horizontal="right"/>
    </xf>
    <xf numFmtId="4" fontId="41" fillId="0" borderId="1" xfId="0" applyNumberFormat="1" applyFont="1" applyBorder="1" applyAlignment="1">
      <alignment horizontal="center"/>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0" applyFont="1" applyBorder="1" applyAlignment="1">
      <alignment horizontal="right"/>
    </xf>
    <xf numFmtId="0" fontId="42" fillId="0" borderId="15" xfId="0" applyFont="1" applyBorder="1" applyAlignment="1">
      <alignment horizontal="right"/>
    </xf>
    <xf numFmtId="0" fontId="42" fillId="0" borderId="9" xfId="0" applyFont="1" applyBorder="1" applyAlignment="1">
      <alignment horizontal="right"/>
    </xf>
    <xf numFmtId="0" fontId="26" fillId="0" borderId="0" xfId="0" applyFont="1" applyAlignment="1">
      <alignment horizontal="center" vertical="center" wrapText="1"/>
    </xf>
    <xf numFmtId="0" fontId="57" fillId="5" borderId="15" xfId="0" applyFont="1" applyFill="1" applyBorder="1" applyAlignment="1">
      <alignment horizontal="center" vertical="center" wrapText="1"/>
    </xf>
    <xf numFmtId="0" fontId="57" fillId="5" borderId="9" xfId="0" applyFont="1" applyFill="1" applyBorder="1" applyAlignment="1">
      <alignment horizontal="center" vertical="center" wrapText="1"/>
    </xf>
    <xf numFmtId="0" fontId="35" fillId="0" borderId="1" xfId="0" applyFont="1" applyBorder="1" applyAlignment="1">
      <alignment horizontal="right" vertical="center" wrapText="1"/>
    </xf>
    <xf numFmtId="0" fontId="33" fillId="0" borderId="0" xfId="0" applyFont="1" applyAlignment="1">
      <alignment horizontal="center"/>
    </xf>
    <xf numFmtId="4" fontId="27" fillId="0" borderId="1" xfId="0" quotePrefix="1" applyNumberFormat="1"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center"/>
    </xf>
    <xf numFmtId="0" fontId="56" fillId="0" borderId="0" xfId="0" applyFont="1" applyAlignment="1">
      <alignment horizontal="left"/>
    </xf>
    <xf numFmtId="0" fontId="65" fillId="6" borderId="4" xfId="0" applyFont="1" applyFill="1" applyBorder="1" applyAlignment="1">
      <alignment horizontal="center" vertical="center" wrapText="1"/>
    </xf>
    <xf numFmtId="0" fontId="65" fillId="6" borderId="5" xfId="0" applyFont="1" applyFill="1" applyBorder="1" applyAlignment="1">
      <alignment horizontal="center" vertical="center" wrapText="1"/>
    </xf>
    <xf numFmtId="0" fontId="68" fillId="0" borderId="8" xfId="0" applyFont="1" applyBorder="1" applyAlignment="1">
      <alignment horizontal="center" vertical="center" wrapText="1"/>
    </xf>
    <xf numFmtId="0" fontId="68"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60" fillId="0" borderId="21" xfId="0" applyFont="1" applyBorder="1" applyAlignment="1">
      <alignment horizontal="center"/>
    </xf>
    <xf numFmtId="0" fontId="60" fillId="0" borderId="22" xfId="0" applyFont="1" applyBorder="1" applyAlignment="1">
      <alignment horizontal="center"/>
    </xf>
    <xf numFmtId="0" fontId="60" fillId="0" borderId="23" xfId="0" applyFont="1" applyBorder="1" applyAlignment="1">
      <alignment horizontal="center"/>
    </xf>
    <xf numFmtId="0" fontId="55" fillId="2" borderId="10" xfId="2" applyFont="1" applyFill="1" applyBorder="1" applyAlignment="1">
      <alignment horizontal="center" vertical="center" wrapText="1"/>
    </xf>
    <xf numFmtId="0" fontId="55" fillId="2" borderId="15" xfId="2" applyFont="1" applyFill="1" applyBorder="1" applyAlignment="1">
      <alignment horizontal="center" vertical="center" wrapText="1"/>
    </xf>
    <xf numFmtId="0" fontId="55" fillId="2" borderId="9" xfId="2" applyFont="1" applyFill="1" applyBorder="1" applyAlignment="1">
      <alignment horizontal="center" vertical="center" wrapText="1"/>
    </xf>
    <xf numFmtId="9" fontId="68" fillId="0" borderId="8" xfId="3" applyFont="1" applyBorder="1" applyAlignment="1">
      <alignment horizontal="center" vertical="center" wrapText="1"/>
    </xf>
    <xf numFmtId="9" fontId="68" fillId="0" borderId="13" xfId="3" applyFont="1" applyBorder="1" applyAlignment="1">
      <alignment horizontal="center" vertical="center" wrapText="1"/>
    </xf>
    <xf numFmtId="0" fontId="63" fillId="4" borderId="8" xfId="0" applyFont="1" applyFill="1" applyBorder="1" applyAlignment="1">
      <alignment horizontal="center" vertical="center" wrapText="1"/>
    </xf>
    <xf numFmtId="0" fontId="63" fillId="4" borderId="13" xfId="0" applyFont="1" applyFill="1" applyBorder="1" applyAlignment="1">
      <alignment horizontal="center"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43" fontId="16" fillId="0" borderId="17" xfId="2" applyNumberFormat="1" applyFont="1" applyBorder="1" applyAlignment="1">
      <alignment horizontal="center"/>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5" fillId="2" borderId="6" xfId="2" applyFont="1" applyFill="1" applyBorder="1" applyAlignment="1">
      <alignment horizontal="center" vertical="center" wrapText="1"/>
    </xf>
    <xf numFmtId="0" fontId="55" fillId="2" borderId="7" xfId="2" applyFont="1" applyFill="1" applyBorder="1" applyAlignment="1">
      <alignment horizontal="center" vertical="center" wrapText="1"/>
    </xf>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5" xfId="0" applyFont="1" applyBorder="1" applyAlignment="1">
      <alignment horizontal="center" vertical="center" wrapText="1"/>
    </xf>
    <xf numFmtId="0" fontId="35" fillId="0" borderId="9" xfId="0" applyFont="1" applyBorder="1" applyAlignment="1">
      <alignment horizontal="center" vertical="center" wrapText="1"/>
    </xf>
    <xf numFmtId="0" fontId="33" fillId="0" borderId="1" xfId="0" applyFont="1" applyBorder="1" applyAlignment="1">
      <alignment horizontal="center" vertical="center" wrapText="1"/>
    </xf>
    <xf numFmtId="0" fontId="0" fillId="0" borderId="1" xfId="0" applyBorder="1" applyAlignment="1">
      <alignment horizontal="center"/>
    </xf>
    <xf numFmtId="0" fontId="33" fillId="0" borderId="1" xfId="0" applyFont="1" applyBorder="1" applyAlignment="1">
      <alignment horizontal="center"/>
    </xf>
    <xf numFmtId="0" fontId="0" fillId="0" borderId="2" xfId="0" applyBorder="1" applyAlignment="1">
      <alignment horizontal="center" vertical="center" wrapText="1"/>
    </xf>
    <xf numFmtId="0" fontId="0" fillId="0" borderId="1" xfId="0" applyBorder="1" applyAlignment="1">
      <alignment horizontal="center" vertical="center" wrapText="1"/>
    </xf>
    <xf numFmtId="43" fontId="33" fillId="0" borderId="10" xfId="1" applyFont="1" applyBorder="1" applyAlignment="1">
      <alignment horizontal="center"/>
    </xf>
    <xf numFmtId="43" fontId="33" fillId="0" borderId="9" xfId="1" applyFont="1" applyBorder="1" applyAlignment="1">
      <alignment horizontal="center"/>
    </xf>
    <xf numFmtId="43" fontId="46" fillId="0" borderId="1"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5" fillId="10" borderId="1" xfId="0" applyFont="1" applyFill="1" applyBorder="1" applyAlignment="1">
      <alignment horizontal="center" vertical="center" wrapText="1"/>
    </xf>
    <xf numFmtId="0" fontId="7" fillId="0" borderId="15" xfId="0" applyFont="1" applyBorder="1" applyAlignment="1">
      <alignment horizontal="center" vertical="center" wrapText="1"/>
    </xf>
    <xf numFmtId="43" fontId="33" fillId="0" borderId="15" xfId="1" applyFont="1" applyBorder="1" applyAlignment="1">
      <alignment horizontal="center"/>
    </xf>
    <xf numFmtId="0" fontId="33" fillId="0" borderId="1" xfId="0" quotePrefix="1" applyFont="1" applyBorder="1" applyAlignment="1">
      <alignment horizontal="center"/>
    </xf>
    <xf numFmtId="0" fontId="35" fillId="10" borderId="1" xfId="0" applyFont="1" applyFill="1" applyBorder="1" applyAlignment="1">
      <alignment horizontal="center" vertical="center"/>
    </xf>
    <xf numFmtId="0" fontId="102" fillId="10" borderId="7" xfId="0" applyFont="1" applyFill="1" applyBorder="1" applyAlignment="1">
      <alignment horizontal="center" vertical="center"/>
    </xf>
    <xf numFmtId="0" fontId="34" fillId="0" borderId="1" xfId="0" applyFont="1" applyBorder="1" applyAlignment="1">
      <alignment horizontal="center"/>
    </xf>
    <xf numFmtId="0" fontId="33" fillId="0" borderId="0" xfId="0" applyFont="1" applyAlignment="1">
      <alignment horizontal="center" vertical="center" wrapText="1"/>
    </xf>
    <xf numFmtId="0" fontId="3" fillId="0" borderId="10" xfId="0" applyFont="1" applyBorder="1" applyAlignment="1">
      <alignment horizontal="left" vertical="center"/>
    </xf>
    <xf numFmtId="0" fontId="3" fillId="0" borderId="9" xfId="0" applyFont="1" applyBorder="1" applyAlignment="1">
      <alignment horizontal="left" vertical="center"/>
    </xf>
    <xf numFmtId="169"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6" fillId="0" borderId="9" xfId="0" applyFont="1" applyBorder="1" applyAlignment="1">
      <alignment vertical="center" wrapText="1"/>
    </xf>
    <xf numFmtId="0" fontId="6" fillId="0" borderId="1" xfId="0" applyFont="1" applyBorder="1" applyAlignment="1">
      <alignment vertical="center" wrapText="1"/>
    </xf>
    <xf numFmtId="0" fontId="57" fillId="2" borderId="10" xfId="0" applyFont="1" applyFill="1" applyBorder="1" applyAlignment="1">
      <alignment horizontal="center" vertical="center"/>
    </xf>
    <xf numFmtId="0" fontId="57"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10" xfId="0" applyFont="1" applyBorder="1" applyAlignment="1">
      <alignment vertical="center" wrapText="1"/>
    </xf>
    <xf numFmtId="0" fontId="17" fillId="0" borderId="9" xfId="0" applyFont="1" applyBorder="1" applyAlignment="1">
      <alignment vertical="center" wrapText="1"/>
    </xf>
    <xf numFmtId="0" fontId="58" fillId="2" borderId="10" xfId="0" applyFont="1" applyFill="1" applyBorder="1" applyAlignment="1">
      <alignment horizontal="center"/>
    </xf>
    <xf numFmtId="0" fontId="58" fillId="2" borderId="9" xfId="0" applyFont="1" applyFill="1" applyBorder="1" applyAlignment="1">
      <alignment horizontal="center"/>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10" xfId="1"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52" fillId="0" borderId="0" xfId="0" applyFont="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6" fillId="0" borderId="15"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39"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3" xfId="0" applyFont="1" applyBorder="1" applyAlignment="1">
      <alignment horizontal="center" vertical="center" wrapText="1"/>
    </xf>
    <xf numFmtId="0" fontId="39" fillId="0" borderId="10" xfId="0" applyFont="1" applyBorder="1" applyAlignment="1">
      <alignment horizontal="center" vertical="center" wrapText="1"/>
    </xf>
    <xf numFmtId="0" fontId="50" fillId="0" borderId="1" xfId="0" applyFont="1" applyBorder="1" applyAlignment="1">
      <alignment horizontal="center" vertical="center" wrapText="1"/>
    </xf>
    <xf numFmtId="0" fontId="50" fillId="0" borderId="10" xfId="0" applyFont="1" applyBorder="1" applyAlignment="1">
      <alignment horizontal="center" vertical="center" wrapText="1"/>
    </xf>
    <xf numFmtId="0" fontId="35" fillId="2" borderId="1" xfId="0" applyFont="1" applyFill="1" applyBorder="1" applyAlignment="1">
      <alignment horizontal="center" vertical="center" wrapText="1"/>
    </xf>
    <xf numFmtId="0" fontId="34" fillId="0" borderId="0" xfId="0" applyFont="1" applyAlignment="1">
      <alignment horizontal="center" vertical="center" wrapText="1"/>
    </xf>
    <xf numFmtId="0" fontId="34" fillId="0" borderId="1" xfId="0" applyFont="1" applyBorder="1" applyAlignment="1">
      <alignment horizontal="center" vertical="center" wrapText="1"/>
    </xf>
    <xf numFmtId="0" fontId="34" fillId="0" borderId="10"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9" xfId="0" applyFont="1" applyBorder="1" applyAlignment="1">
      <alignment horizontal="center" vertical="center" wrapText="1"/>
    </xf>
    <xf numFmtId="0" fontId="40" fillId="2" borderId="1" xfId="0" applyFont="1" applyFill="1" applyBorder="1" applyAlignment="1">
      <alignment horizontal="center" vertical="center" wrapText="1"/>
    </xf>
    <xf numFmtId="0" fontId="93" fillId="10" borderId="0" xfId="0" applyFont="1" applyFill="1" applyAlignment="1" applyProtection="1">
      <alignment horizontal="center" vertical="center" wrapText="1"/>
      <protection locked="0"/>
    </xf>
    <xf numFmtId="0" fontId="98" fillId="11" borderId="7" xfId="0" applyFont="1" applyFill="1" applyBorder="1" applyAlignment="1" applyProtection="1">
      <alignment horizontal="center" vertical="center" wrapText="1"/>
      <protection locked="0"/>
    </xf>
    <xf numFmtId="0" fontId="98" fillId="11" borderId="11" xfId="0" applyFont="1" applyFill="1" applyBorder="1" applyAlignment="1">
      <alignment horizontal="center"/>
    </xf>
    <xf numFmtId="0" fontId="98" fillId="11" borderId="0" xfId="0" applyFont="1" applyFill="1" applyAlignment="1">
      <alignment horizontal="center"/>
    </xf>
    <xf numFmtId="0" fontId="33" fillId="0" borderId="1" xfId="0" applyFont="1" applyBorder="1" applyAlignment="1">
      <alignment horizontal="left"/>
    </xf>
    <xf numFmtId="0" fontId="93" fillId="10" borderId="1" xfId="0" applyFont="1" applyFill="1" applyBorder="1" applyAlignment="1">
      <alignment horizontal="center" vertical="center" wrapText="1"/>
    </xf>
    <xf numFmtId="0" fontId="93" fillId="10" borderId="10" xfId="0" applyFont="1" applyFill="1" applyBorder="1" applyAlignment="1">
      <alignment horizontal="center" vertical="center" wrapText="1"/>
    </xf>
    <xf numFmtId="0" fontId="33" fillId="0" borderId="14" xfId="0" quotePrefix="1" applyFont="1" applyBorder="1" applyAlignment="1">
      <alignment horizontal="center" vertical="center" wrapText="1"/>
    </xf>
    <xf numFmtId="43" fontId="33" fillId="0" borderId="11" xfId="1" applyFont="1" applyBorder="1" applyAlignment="1">
      <alignment horizontal="center" vertical="center" wrapText="1"/>
    </xf>
    <xf numFmtId="43" fontId="33" fillId="0" borderId="0" xfId="1" applyFont="1" applyBorder="1" applyAlignment="1">
      <alignment horizontal="center" vertical="center" wrapText="1"/>
    </xf>
    <xf numFmtId="43" fontId="33" fillId="0" borderId="6" xfId="1" applyFont="1" applyBorder="1" applyAlignment="1">
      <alignment horizontal="center" vertical="center" wrapText="1"/>
    </xf>
    <xf numFmtId="43" fontId="33" fillId="0" borderId="7" xfId="1" applyFont="1" applyBorder="1" applyAlignment="1">
      <alignment horizontal="center" vertical="center" wrapText="1"/>
    </xf>
    <xf numFmtId="0" fontId="98" fillId="10" borderId="1" xfId="0" applyFont="1" applyFill="1" applyBorder="1" applyAlignment="1">
      <alignment horizontal="center" vertical="center" wrapText="1"/>
    </xf>
    <xf numFmtId="0" fontId="98" fillId="10" borderId="10" xfId="0" applyFont="1" applyFill="1" applyBorder="1" applyAlignment="1">
      <alignment horizontal="center" vertical="center" wrapText="1"/>
    </xf>
    <xf numFmtId="43" fontId="33" fillId="0" borderId="14" xfId="0" applyNumberFormat="1" applyFont="1" applyBorder="1" applyAlignment="1">
      <alignment horizontal="center" vertical="center" wrapText="1"/>
    </xf>
    <xf numFmtId="0" fontId="40" fillId="0" borderId="7" xfId="0" applyFont="1" applyBorder="1" applyAlignment="1">
      <alignment horizontal="center" vertical="center"/>
    </xf>
    <xf numFmtId="2" fontId="76" fillId="0" borderId="10" xfId="4" applyNumberFormat="1" applyFont="1" applyBorder="1" applyAlignment="1">
      <alignment horizontal="center" vertical="center" wrapText="1"/>
    </xf>
    <xf numFmtId="2" fontId="76" fillId="0" borderId="9" xfId="4" applyNumberFormat="1" applyFont="1" applyBorder="1" applyAlignment="1">
      <alignment horizontal="center" vertical="center" wrapText="1"/>
    </xf>
    <xf numFmtId="0" fontId="74" fillId="2" borderId="10" xfId="0" applyFont="1" applyFill="1" applyBorder="1" applyAlignment="1">
      <alignment horizontal="center" vertical="center" wrapText="1"/>
    </xf>
    <xf numFmtId="0" fontId="74" fillId="2" borderId="15" xfId="0" applyFont="1" applyFill="1" applyBorder="1" applyAlignment="1">
      <alignment horizontal="center" vertical="center" wrapText="1"/>
    </xf>
    <xf numFmtId="0" fontId="74"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7" fillId="11" borderId="0" xfId="4" applyFont="1" applyFill="1" applyAlignment="1">
      <alignment horizontal="center" vertical="center" wrapText="1"/>
    </xf>
    <xf numFmtId="0" fontId="86" fillId="9" borderId="1" xfId="0" applyFont="1" applyFill="1" applyBorder="1" applyAlignment="1">
      <alignment horizontal="center" vertical="center" wrapText="1"/>
    </xf>
    <xf numFmtId="0" fontId="85"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92" fillId="2" borderId="0" xfId="4" applyFont="1" applyFill="1" applyAlignment="1">
      <alignment horizontal="center" vertical="center" wrapText="1"/>
    </xf>
    <xf numFmtId="0" fontId="99" fillId="9" borderId="1" xfId="0" applyFont="1" applyFill="1" applyBorder="1" applyAlignment="1">
      <alignment horizontal="center" vertical="center" wrapText="1"/>
    </xf>
    <xf numFmtId="2" fontId="34" fillId="0" borderId="1" xfId="4" applyNumberFormat="1" applyFont="1" applyBorder="1" applyAlignment="1">
      <alignment horizontal="center" vertical="center" wrapText="1"/>
    </xf>
    <xf numFmtId="0" fontId="12" fillId="0" borderId="1" xfId="0" applyFont="1" applyBorder="1" applyAlignment="1">
      <alignment horizontal="center" vertical="center" wrapText="1"/>
    </xf>
    <xf numFmtId="0" fontId="93" fillId="8" borderId="1" xfId="0" applyFont="1" applyFill="1" applyBorder="1" applyAlignment="1">
      <alignment horizontal="center" vertical="center" wrapText="1"/>
    </xf>
    <xf numFmtId="0" fontId="101" fillId="10" borderId="0" xfId="4" applyFont="1" applyFill="1" applyAlignment="1">
      <alignment horizontal="center" vertical="center" wrapText="1"/>
    </xf>
    <xf numFmtId="2" fontId="88" fillId="0" borderId="10" xfId="4" applyNumberFormat="1" applyFont="1" applyBorder="1" applyAlignment="1">
      <alignment horizontal="center" vertical="center" wrapText="1"/>
    </xf>
    <xf numFmtId="2" fontId="88" fillId="0" borderId="9" xfId="4" applyNumberFormat="1" applyFont="1" applyBorder="1" applyAlignment="1">
      <alignment horizontal="center" vertical="center" wrapText="1"/>
    </xf>
    <xf numFmtId="0" fontId="12" fillId="0" borderId="1" xfId="4" applyFont="1" applyBorder="1" applyAlignment="1">
      <alignment horizontal="center" vertical="center" wrapText="1"/>
    </xf>
    <xf numFmtId="43" fontId="33" fillId="0" borderId="0" xfId="1" applyFont="1" applyBorder="1" applyAlignment="1">
      <alignment vertical="center" wrapText="1"/>
    </xf>
    <xf numFmtId="0" fontId="33" fillId="0" borderId="5" xfId="0" applyFont="1" applyBorder="1" applyAlignment="1">
      <alignment horizontal="center" vertical="center" wrapText="1"/>
    </xf>
    <xf numFmtId="0" fontId="33" fillId="0" borderId="8" xfId="0" applyFont="1" applyBorder="1" applyAlignment="1">
      <alignment horizontal="center" vertical="center" wrapText="1"/>
    </xf>
    <xf numFmtId="0" fontId="33" fillId="2" borderId="2" xfId="0" applyFont="1" applyFill="1" applyBorder="1" applyAlignment="1">
      <alignment horizontal="center" vertical="center" wrapText="1"/>
    </xf>
    <xf numFmtId="0" fontId="33" fillId="2" borderId="13" xfId="0" applyFont="1" applyFill="1" applyBorder="1" applyAlignment="1">
      <alignment horizontal="center" vertical="center" wrapText="1"/>
    </xf>
    <xf numFmtId="43" fontId="33" fillId="0" borderId="1" xfId="1" applyFont="1" applyBorder="1" applyAlignment="1">
      <alignment vertical="center" wrapText="1"/>
    </xf>
    <xf numFmtId="43" fontId="33" fillId="0" borderId="1" xfId="1" applyFont="1" applyFill="1" applyBorder="1" applyAlignment="1">
      <alignment vertical="center" wrapText="1"/>
    </xf>
    <xf numFmtId="43" fontId="33" fillId="2" borderId="1" xfId="1" applyFont="1" applyFill="1" applyBorder="1" applyAlignment="1">
      <alignment vertical="center" wrapText="1"/>
    </xf>
    <xf numFmtId="0" fontId="33" fillId="0" borderId="1" xfId="0" applyFont="1" applyBorder="1" applyAlignment="1">
      <alignment horizontal="center" vertical="center"/>
    </xf>
    <xf numFmtId="0" fontId="50" fillId="0" borderId="2" xfId="0" applyFont="1" applyBorder="1" applyAlignment="1">
      <alignment horizontal="left" vertical="center" wrapText="1"/>
    </xf>
    <xf numFmtId="0" fontId="50" fillId="0" borderId="13" xfId="0" applyFont="1" applyBorder="1" applyAlignment="1">
      <alignment horizontal="left" vertical="center" wrapText="1"/>
    </xf>
  </cellXfs>
  <cellStyles count="6">
    <cellStyle name="Milliers" xfId="1" builtinId="3"/>
    <cellStyle name="Milliers 2" xfId="5" xr:uid="{DC666771-5244-4982-B30C-16852C335F7C}"/>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styles" Target="styles.xml"/><Relationship Id="rId30"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32</xdr:row>
          <xdr:rowOff>0</xdr:rowOff>
        </xdr:from>
        <xdr:to>
          <xdr:col>9</xdr:col>
          <xdr:colOff>678180</xdr:colOff>
          <xdr:row>36</xdr:row>
          <xdr:rowOff>83820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246</xdr:row>
      <xdr:rowOff>180975</xdr:rowOff>
    </xdr:from>
    <xdr:to>
      <xdr:col>6</xdr:col>
      <xdr:colOff>1104900</xdr:colOff>
      <xdr:row>253</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91</xdr:row>
      <xdr:rowOff>0</xdr:rowOff>
    </xdr:from>
    <xdr:to>
      <xdr:col>16</xdr:col>
      <xdr:colOff>246945</xdr:colOff>
      <xdr:row>110</xdr:row>
      <xdr:rowOff>103949</xdr:rowOff>
    </xdr:to>
    <xdr:pic>
      <xdr:nvPicPr>
        <xdr:cNvPr id="2" name="Image 1">
          <a:extLst>
            <a:ext uri="{FF2B5EF4-FFF2-40B4-BE49-F238E27FC236}">
              <a16:creationId xmlns:a16="http://schemas.microsoft.com/office/drawing/2014/main" id="{8FDA0751-C77E-40CB-B017-9A89095B76D5}"/>
            </a:ext>
          </a:extLst>
        </xdr:cNvPr>
        <xdr:cNvPicPr>
          <a:picLocks noChangeAspect="1"/>
        </xdr:cNvPicPr>
      </xdr:nvPicPr>
      <xdr:blipFill>
        <a:blip xmlns:r="http://schemas.openxmlformats.org/officeDocument/2006/relationships" r:embed="rId1"/>
        <a:stretch>
          <a:fillRect/>
        </a:stretch>
      </xdr:blipFill>
      <xdr:spPr>
        <a:xfrm>
          <a:off x="792480" y="17038320"/>
          <a:ext cx="12134145" cy="357866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26</xdr:row>
      <xdr:rowOff>400050</xdr:rowOff>
    </xdr:from>
    <xdr:to>
      <xdr:col>3</xdr:col>
      <xdr:colOff>200025</xdr:colOff>
      <xdr:row>30</xdr:row>
      <xdr:rowOff>19050</xdr:rowOff>
    </xdr:to>
    <xdr:cxnSp macro="">
      <xdr:nvCxnSpPr>
        <xdr:cNvPr id="2" name="Connecteur droit avec flèche 1">
          <a:extLst>
            <a:ext uri="{FF2B5EF4-FFF2-40B4-BE49-F238E27FC236}">
              <a16:creationId xmlns:a16="http://schemas.microsoft.com/office/drawing/2014/main" id="{77C2F039-4FAB-4D5A-902C-D914C6256A4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3" name="Connecteur droit avec flèche 2">
          <a:extLst>
            <a:ext uri="{FF2B5EF4-FFF2-40B4-BE49-F238E27FC236}">
              <a16:creationId xmlns:a16="http://schemas.microsoft.com/office/drawing/2014/main" id="{4A7ED203-EDD7-4462-979E-5DE78A20733A}"/>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4" name="Connecteur droit avec flèche 3">
          <a:extLst>
            <a:ext uri="{FF2B5EF4-FFF2-40B4-BE49-F238E27FC236}">
              <a16:creationId xmlns:a16="http://schemas.microsoft.com/office/drawing/2014/main" id="{0840E174-4AED-4F52-B0F6-59D8BBA98DD9}"/>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5" name="Connecteur droit avec flèche 4">
          <a:extLst>
            <a:ext uri="{FF2B5EF4-FFF2-40B4-BE49-F238E27FC236}">
              <a16:creationId xmlns:a16="http://schemas.microsoft.com/office/drawing/2014/main" id="{CD2012DA-A2A8-4EA4-9E69-EF23F34D60C7}"/>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6" name="Connecteur droit avec flèche 5">
          <a:extLst>
            <a:ext uri="{FF2B5EF4-FFF2-40B4-BE49-F238E27FC236}">
              <a16:creationId xmlns:a16="http://schemas.microsoft.com/office/drawing/2014/main" id="{31A09312-9C59-4D89-A55F-7FE8B152B1C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7" name="Connecteur droit avec flèche 6">
          <a:extLst>
            <a:ext uri="{FF2B5EF4-FFF2-40B4-BE49-F238E27FC236}">
              <a16:creationId xmlns:a16="http://schemas.microsoft.com/office/drawing/2014/main" id="{7728A589-B069-433C-A696-18907E6E8343}"/>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8" name="Connecteur droit avec flèche 7">
          <a:extLst>
            <a:ext uri="{FF2B5EF4-FFF2-40B4-BE49-F238E27FC236}">
              <a16:creationId xmlns:a16="http://schemas.microsoft.com/office/drawing/2014/main" id="{4A09B718-4D06-4DD5-AC28-4BC19709FE4F}"/>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39</xdr:row>
      <xdr:rowOff>0</xdr:rowOff>
    </xdr:from>
    <xdr:to>
      <xdr:col>12</xdr:col>
      <xdr:colOff>161573</xdr:colOff>
      <xdr:row>48</xdr:row>
      <xdr:rowOff>318687</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61</xdr:row>
      <xdr:rowOff>396240</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75</xdr:row>
      <xdr:rowOff>255270</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4</xdr:col>
      <xdr:colOff>112644</xdr:colOff>
      <xdr:row>28</xdr:row>
      <xdr:rowOff>397565</xdr:rowOff>
    </xdr:from>
    <xdr:to>
      <xdr:col>5</xdr:col>
      <xdr:colOff>92766</xdr:colOff>
      <xdr:row>30</xdr:row>
      <xdr:rowOff>265044</xdr:rowOff>
    </xdr:to>
    <xdr:cxnSp macro="">
      <xdr:nvCxnSpPr>
        <xdr:cNvPr id="12" name="Connecteur droit avec flèche 11">
          <a:extLst>
            <a:ext uri="{FF2B5EF4-FFF2-40B4-BE49-F238E27FC236}">
              <a16:creationId xmlns:a16="http://schemas.microsoft.com/office/drawing/2014/main" id="{62853D07-EBDA-4F9D-BC89-FBD56D1F9288}"/>
            </a:ext>
          </a:extLst>
        </xdr:cNvPr>
        <xdr:cNvCxnSpPr/>
      </xdr:nvCxnSpPr>
      <xdr:spPr>
        <a:xfrm flipH="1">
          <a:off x="3937884" y="10494065"/>
          <a:ext cx="1069782" cy="6751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ienvenue\Desktop\COURS%20GRETA%202018%202019\COURS%20DEFINITIFS%20PRODUITS\TR%202018\TICKETS%20RESTAURANT%202018\TR\51.GESTION%20DES%20TR%20et%20MATRI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Bienvenue\Desktop\ENVOI%20STAGAIRES\ASSIA\MAQUETTE%20CADRE%20%20201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ienvenue/Desktop/PAIE%202020/FICHIERS%20DEFINITIFS%20PRETS%20A%20IMPRIMER/TR/EXERCICE%205/1.%202020.%20EXERCICE%2053%20TR%20.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d.docs.live.net/fa77d33fea66a78b/Desktop/1%20PAIE%202025/1%20MAQUETTES/MAQUETTE%20%20%20REG%20PROG%20%203%20MOIS%20EX%202.xlsm" TargetMode="External"/><Relationship Id="rId1" Type="http://schemas.openxmlformats.org/officeDocument/2006/relationships/externalLinkPath" Target="/fa77d33fea66a78b/Desktop/1%20PAIE%202025/1%20MAQUETTES/MAQUETTE%20%20%20REG%20PROG%20%203%20MOIS%20EX%202.xlsm"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2026%20ASTREINTE/EXERCICE%201%20BP%20ASTREINTE%20C.xlsx" TargetMode="External"/><Relationship Id="rId1" Type="http://schemas.openxmlformats.org/officeDocument/2006/relationships/externalLinkPath" Target="/fa77d33fea66a78b/Desktop/1%20PAIE%202025/CHAPITRE%2026%20ASTREINTE/EXERCICE%201%20BP%20ASTREINTE%20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LIRE "/>
      <sheetName val="Table des taux "/>
      <sheetName val="TABLEAU SYNTH"/>
      <sheetName val="RAPPEL LEGISLATION "/>
      <sheetName val="Feuil5"/>
      <sheetName val="SYNTHESE TR "/>
      <sheetName val="Feuil1"/>
      <sheetName val="TR EX 1 "/>
      <sheetName val="TR EX 1 SUITE "/>
      <sheetName val="TR BP 1 "/>
      <sheetName val="Feuil2"/>
      <sheetName val="Feuil3"/>
      <sheetName val="TR ex 2  "/>
      <sheetName val="TR ex 2  suite "/>
      <sheetName val="TR BP 2 "/>
      <sheetName val="TR EX  3"/>
      <sheetName val="TR EX3 SUITE "/>
      <sheetName val="TR BP 3 "/>
      <sheetName val="TR EX 4"/>
      <sheetName val="TR EX 4 SUITE "/>
      <sheetName val="TR BP 4 "/>
      <sheetName val="MATRICE COTISATIONS"/>
      <sheetName val="TR BP MATRICE "/>
      <sheetName val="MATRICE NET IMPOSABLE "/>
    </sheetNames>
    <sheetDataSet>
      <sheetData sheetId="0" refreshError="1"/>
      <sheetData sheetId="1" refreshError="1">
        <row r="2">
          <cell r="A2"/>
          <cell r="B2"/>
          <cell r="C2" t="str">
            <v>Montant</v>
          </cell>
        </row>
        <row r="3">
          <cell r="A3" t="str">
            <v>Libellé</v>
          </cell>
          <cell r="B3" t="str">
            <v>Cotisations 
salariales</v>
          </cell>
          <cell r="C3" t="str">
            <v>Cotisations 
patronales</v>
          </cell>
        </row>
        <row r="4">
          <cell r="A4"/>
          <cell r="B4"/>
          <cell r="C4"/>
        </row>
        <row r="5">
          <cell r="A5" t="str">
            <v>URRSAF Maladie</v>
          </cell>
          <cell r="B5"/>
          <cell r="C5">
            <v>13</v>
          </cell>
        </row>
        <row r="6">
          <cell r="A6" t="str">
            <v>URRSAF Vieillesse Plafonnée</v>
          </cell>
          <cell r="B6">
            <v>6.9</v>
          </cell>
          <cell r="C6">
            <v>8.5500000000000007</v>
          </cell>
        </row>
        <row r="7">
          <cell r="A7" t="str">
            <v>URSSAF Vieillesse Déplafonnée</v>
          </cell>
          <cell r="B7">
            <v>0.4</v>
          </cell>
          <cell r="C7">
            <v>1.9</v>
          </cell>
        </row>
        <row r="8">
          <cell r="A8" t="str">
            <v xml:space="preserve">Allocations familiales Taux de base </v>
          </cell>
          <cell r="B8"/>
          <cell r="C8">
            <v>3.45</v>
          </cell>
          <cell r="D8">
            <v>2332.0779199999997</v>
          </cell>
        </row>
        <row r="9">
          <cell r="A9" t="str">
            <v xml:space="preserve">Allocations familiales Taux majoré </v>
          </cell>
          <cell r="B9"/>
          <cell r="C9">
            <v>1.8</v>
          </cell>
        </row>
        <row r="10">
          <cell r="A10" t="str">
            <v>URSSAF FNAL Taux réduit  TA</v>
          </cell>
          <cell r="B10"/>
          <cell r="C10">
            <v>0.1</v>
          </cell>
        </row>
        <row r="11">
          <cell r="A11"/>
          <cell r="B11"/>
          <cell r="C11"/>
        </row>
        <row r="12">
          <cell r="A12"/>
          <cell r="B12"/>
          <cell r="C12"/>
        </row>
        <row r="13">
          <cell r="A13" t="str">
            <v xml:space="preserve">URSSAF FNAL TOTALITE </v>
          </cell>
          <cell r="B13"/>
          <cell r="C13">
            <v>0.5</v>
          </cell>
        </row>
        <row r="14">
          <cell r="A14" t="str">
            <v>Versement de transport</v>
          </cell>
          <cell r="B14"/>
          <cell r="C14">
            <v>2.91</v>
          </cell>
        </row>
        <row r="15">
          <cell r="A15" t="str">
            <v>Accident du travail</v>
          </cell>
          <cell r="B15"/>
          <cell r="C15">
            <v>1.8</v>
          </cell>
        </row>
        <row r="16">
          <cell r="A16" t="str">
            <v>Contribution de solidarité pour l'autonomie</v>
          </cell>
          <cell r="B16"/>
          <cell r="C16">
            <v>0.3</v>
          </cell>
        </row>
        <row r="17">
          <cell r="A17" t="str">
            <v>Forfait social</v>
          </cell>
          <cell r="B17"/>
          <cell r="C17">
            <v>8</v>
          </cell>
        </row>
        <row r="18">
          <cell r="A18"/>
          <cell r="B18"/>
          <cell r="C18"/>
        </row>
        <row r="19">
          <cell r="A19" t="str">
            <v xml:space="preserve">Contribution dialogue social </v>
          </cell>
          <cell r="C19">
            <v>1.6E-2</v>
          </cell>
        </row>
        <row r="20">
          <cell r="A20"/>
          <cell r="B20"/>
          <cell r="C20"/>
        </row>
        <row r="21">
          <cell r="A21" t="str">
            <v>Pôle Emploi  TA</v>
          </cell>
          <cell r="B21">
            <v>0.95</v>
          </cell>
          <cell r="C21">
            <v>4.05</v>
          </cell>
        </row>
        <row r="22">
          <cell r="A22" t="str">
            <v>Pôle Emploi  TB</v>
          </cell>
          <cell r="B22">
            <v>0.95</v>
          </cell>
          <cell r="C22">
            <v>4.05</v>
          </cell>
        </row>
        <row r="23">
          <cell r="A23" t="str">
            <v>AGS</v>
          </cell>
          <cell r="B23"/>
          <cell r="C23">
            <v>0.15</v>
          </cell>
        </row>
        <row r="24">
          <cell r="A24"/>
          <cell r="B24"/>
          <cell r="C24"/>
        </row>
        <row r="25">
          <cell r="A25" t="str">
            <v>Retraite Non Cadre T1</v>
          </cell>
          <cell r="B25">
            <v>3.1</v>
          </cell>
          <cell r="C25">
            <v>4.6500000000000004</v>
          </cell>
        </row>
        <row r="26">
          <cell r="A26" t="str">
            <v>AGFF T1</v>
          </cell>
          <cell r="B26">
            <v>0.8</v>
          </cell>
          <cell r="C26">
            <v>1.2</v>
          </cell>
        </row>
        <row r="27">
          <cell r="A27" t="str">
            <v>Retraite Non Cadre T2</v>
          </cell>
          <cell r="B27">
            <v>8.1</v>
          </cell>
          <cell r="C27">
            <v>12.15</v>
          </cell>
        </row>
        <row r="28">
          <cell r="A28" t="str">
            <v>AGFF T2</v>
          </cell>
          <cell r="B28">
            <v>0.9</v>
          </cell>
          <cell r="C28">
            <v>1.3</v>
          </cell>
        </row>
        <row r="29">
          <cell r="A29"/>
          <cell r="B29"/>
          <cell r="C29"/>
        </row>
        <row r="30">
          <cell r="A30" t="str">
            <v xml:space="preserve">Prévoyance Non Cadre Frais de santé </v>
          </cell>
          <cell r="B30">
            <v>1.7</v>
          </cell>
          <cell r="C30">
            <v>2.27</v>
          </cell>
        </row>
        <row r="31">
          <cell r="A31" t="str">
            <v>Prévoyance Non cadre hors frais de santé T1</v>
          </cell>
          <cell r="B31">
            <v>1</v>
          </cell>
          <cell r="C31">
            <v>2</v>
          </cell>
        </row>
        <row r="32">
          <cell r="A32" t="str">
            <v>Prévoyance Cadre frais de santé TA</v>
          </cell>
          <cell r="B32">
            <v>1.7</v>
          </cell>
          <cell r="C32">
            <v>2.27</v>
          </cell>
        </row>
        <row r="33">
          <cell r="A33" t="str">
            <v>Prévoyance Cadre  hors frais de santé  TA</v>
          </cell>
          <cell r="B33">
            <v>1</v>
          </cell>
          <cell r="C33">
            <v>2</v>
          </cell>
          <cell r="D33" t="str">
            <v xml:space="preserve">Comprend l'assurance décés des cadres à 1,5 % (par hypothèse) </v>
          </cell>
        </row>
        <row r="34">
          <cell r="A34"/>
          <cell r="B34"/>
          <cell r="C34"/>
        </row>
        <row r="35">
          <cell r="A35" t="str">
            <v>Retraite Cadre TA</v>
          </cell>
          <cell r="B35">
            <v>3.1</v>
          </cell>
          <cell r="C35">
            <v>4.6500000000000004</v>
          </cell>
        </row>
        <row r="36">
          <cell r="A36" t="str">
            <v>AGFF TA</v>
          </cell>
          <cell r="B36">
            <v>0.8</v>
          </cell>
          <cell r="C36">
            <v>1.2</v>
          </cell>
        </row>
        <row r="37">
          <cell r="A37" t="str">
            <v>Retraite Cadre TB</v>
          </cell>
          <cell r="B37">
            <v>7.8</v>
          </cell>
          <cell r="C37">
            <v>12.75</v>
          </cell>
        </row>
        <row r="38">
          <cell r="A38" t="str">
            <v>GMP</v>
          </cell>
          <cell r="B38">
            <v>7.8</v>
          </cell>
          <cell r="C38">
            <v>12.75</v>
          </cell>
        </row>
        <row r="39">
          <cell r="A39" t="str">
            <v>AGFF TB + TC</v>
          </cell>
          <cell r="B39">
            <v>0.9</v>
          </cell>
          <cell r="C39">
            <v>1.3</v>
          </cell>
        </row>
        <row r="40">
          <cell r="A40" t="str">
            <v>CET</v>
          </cell>
          <cell r="B40">
            <v>0.13</v>
          </cell>
          <cell r="C40">
            <v>0.22</v>
          </cell>
        </row>
        <row r="41">
          <cell r="A41" t="str">
            <v>APEC  TA + TB</v>
          </cell>
          <cell r="B41">
            <v>2.4E-2</v>
          </cell>
          <cell r="C41">
            <v>3.5999999999999997E-2</v>
          </cell>
        </row>
        <row r="42">
          <cell r="A42"/>
          <cell r="B42"/>
          <cell r="C42"/>
        </row>
        <row r="43">
          <cell r="A43" t="str">
            <v>Assurance décès des cadres</v>
          </cell>
          <cell r="B43"/>
          <cell r="C43">
            <v>1.5</v>
          </cell>
        </row>
        <row r="44">
          <cell r="A44"/>
          <cell r="B44"/>
          <cell r="C44"/>
        </row>
        <row r="45">
          <cell r="A45" t="str">
            <v>Taxe d'apprentissage</v>
          </cell>
          <cell r="B45"/>
          <cell r="C45">
            <v>0.68</v>
          </cell>
        </row>
        <row r="46">
          <cell r="A46" t="str">
            <v>Formation professionnelle</v>
          </cell>
          <cell r="B46"/>
          <cell r="C46">
            <v>0.55000000000000004</v>
          </cell>
        </row>
        <row r="47">
          <cell r="A47"/>
          <cell r="B47"/>
          <cell r="C47"/>
        </row>
        <row r="48">
          <cell r="A48" t="str">
            <v>C.S.G déductible</v>
          </cell>
          <cell r="B48">
            <v>6.8</v>
          </cell>
          <cell r="C48"/>
        </row>
        <row r="49">
          <cell r="A49" t="str">
            <v>C.S.G./ C.R.D.S non déductibles</v>
          </cell>
          <cell r="B49">
            <v>2.9</v>
          </cell>
          <cell r="C49"/>
          <cell r="D49"/>
        </row>
        <row r="50">
          <cell r="A50"/>
          <cell r="B50"/>
          <cell r="C50"/>
          <cell r="D50"/>
        </row>
        <row r="51">
          <cell r="A51" t="str">
            <v>Plafond de la sécurité sociale 2018</v>
          </cell>
          <cell r="B51">
            <v>3311</v>
          </cell>
          <cell r="C51"/>
        </row>
        <row r="52">
          <cell r="A52" t="str">
            <v>SMICH 01/01/2016</v>
          </cell>
          <cell r="B52">
            <v>9.8800000000000008</v>
          </cell>
          <cell r="C52"/>
        </row>
        <row r="53">
          <cell r="A53" t="str">
            <v>1,6 *SMICH  * 35 * 52 /12</v>
          </cell>
          <cell r="B53">
            <v>2397.5466666666671</v>
          </cell>
        </row>
        <row r="54">
          <cell r="A54" t="str">
            <v>GMP</v>
          </cell>
          <cell r="B54">
            <v>353.82</v>
          </cell>
        </row>
        <row r="55">
          <cell r="A55" t="str">
            <v>Coefficients FILLON</v>
          </cell>
          <cell r="B55">
            <v>0.28139999999999998</v>
          </cell>
          <cell r="C55">
            <v>0.28539999999999999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PREVISIONS ET NOUVELLES REGLES"/>
      <sheetName val="TTAUX 2019 "/>
      <sheetName val="TABLE DES TAUX 2019"/>
      <sheetName val="PRE CALCUL "/>
      <sheetName val="VALEUR CIBLE"/>
    </sheetNames>
    <sheetDataSet>
      <sheetData sheetId="0" refreshError="1"/>
      <sheetData sheetId="1" refreshError="1"/>
      <sheetData sheetId="2" refreshError="1"/>
      <sheetData sheetId="3" refreshError="1">
        <row r="2">
          <cell r="C2">
            <v>7</v>
          </cell>
        </row>
        <row r="12">
          <cell r="C12">
            <v>0.3</v>
          </cell>
        </row>
        <row r="14">
          <cell r="C14">
            <v>1.6E-2</v>
          </cell>
        </row>
        <row r="35">
          <cell r="C35">
            <v>0.68</v>
          </cell>
        </row>
        <row r="37">
          <cell r="C37">
            <v>0.55000000000000004</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sheetData sheetId="1"/>
      <sheetData sheetId="2"/>
      <sheetData sheetId="3"/>
      <sheetData sheetId="4"/>
      <sheetData sheetId="5"/>
      <sheetData sheetId="6"/>
      <sheetData sheetId="7"/>
      <sheetData sheetId="8"/>
      <sheetData sheetId="9"/>
      <sheetData sheetId="10">
        <row r="83">
          <cell r="G83">
            <v>0</v>
          </cell>
          <cell r="J83">
            <v>0</v>
          </cell>
          <cell r="L83">
            <v>0</v>
          </cell>
          <cell r="M83">
            <v>0</v>
          </cell>
          <cell r="N83">
            <v>0</v>
          </cell>
          <cell r="O83">
            <v>0</v>
          </cell>
          <cell r="P83">
            <v>0</v>
          </cell>
        </row>
        <row r="85">
          <cell r="J85" t="e">
            <v>#DIV/0!</v>
          </cell>
        </row>
      </sheetData>
      <sheetData sheetId="11"/>
      <sheetData sheetId="12"/>
      <sheetData sheetId="13">
        <row r="7">
          <cell r="B7">
            <v>4910.7999999999993</v>
          </cell>
          <cell r="C7">
            <v>3428</v>
          </cell>
        </row>
        <row r="8">
          <cell r="B8">
            <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row r="17">
          <cell r="B17" t="e">
            <v>#DIV/0!</v>
          </cell>
          <cell r="C17">
            <v>0</v>
          </cell>
        </row>
        <row r="18">
          <cell r="B18" t="e">
            <v>#DIV/0!</v>
          </cell>
          <cell r="C18">
            <v>0</v>
          </cell>
        </row>
        <row r="19">
          <cell r="B19" t="e">
            <v>#DIV/0!</v>
          </cell>
        </row>
      </sheetData>
      <sheetData sheetId="14"/>
      <sheetData sheetId="15"/>
      <sheetData sheetId="16"/>
      <sheetData sheetId="17">
        <row r="80">
          <cell r="G80">
            <v>0</v>
          </cell>
        </row>
        <row r="81">
          <cell r="G81">
            <v>0</v>
          </cell>
        </row>
        <row r="82">
          <cell r="G82">
            <v>98.22</v>
          </cell>
        </row>
        <row r="83">
          <cell r="G83">
            <v>0</v>
          </cell>
        </row>
        <row r="84">
          <cell r="G84">
            <v>147.32</v>
          </cell>
        </row>
        <row r="85">
          <cell r="G85">
            <v>0</v>
          </cell>
        </row>
      </sheetData>
      <sheetData sheetId="18"/>
      <sheetData sheetId="19"/>
      <sheetData sheetId="20"/>
      <sheetData sheetId="21"/>
      <sheetData sheetId="22"/>
      <sheetData sheetId="23"/>
      <sheetData sheetId="24"/>
      <sheetData sheetId="25"/>
      <sheetData sheetId="26">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8">
          <cell r="F108">
            <v>0</v>
          </cell>
        </row>
        <row r="109">
          <cell r="F109" t="e">
            <v>#DIV/0!</v>
          </cell>
        </row>
        <row r="113">
          <cell r="F113" t="e">
            <v>#DIV/0!</v>
          </cell>
        </row>
      </sheetData>
      <sheetData sheetId="28">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9">
          <cell r="F109" t="e">
            <v>#DIV/0!</v>
          </cell>
        </row>
        <row r="113">
          <cell r="F113" t="e">
            <v>#DIV/0!</v>
          </cell>
        </row>
      </sheetData>
      <sheetData sheetId="29">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cell r="F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0">
        <row r="10">
          <cell r="B10">
            <v>0</v>
          </cell>
        </row>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2">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3">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4">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5">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6">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7"/>
      <sheetData sheetId="3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CHEMA "/>
      <sheetName val="Matrice Val. Abs; "/>
      <sheetName val="TR Matrice Cotisations M1 "/>
      <sheetName val="TR Matrice Net Imposable M1"/>
      <sheetName val="TR Matrice Cotisations M2"/>
      <sheetName val="TR Matrice Cotisations M3"/>
      <sheetName val="TR Matrice Net Imposable M2"/>
      <sheetName val="TR Matrice Net Imposable M3"/>
      <sheetName val="Table des Taux 2025"/>
      <sheetName val="TAUX NEUTRE  JANVIER 2025"/>
      <sheetName val="TAUX NEUTRE MAI 2025"/>
      <sheetName val="TAUX NEUTRE MOIS 1"/>
      <sheetName val="TAUX NEUTRE MOIS 2"/>
      <sheetName val="TAUX NEUTRE MOIS 3"/>
      <sheetName val="A LIRE ENONCE "/>
      <sheetName val="SUIVI RED GEN DE COT"/>
      <sheetName val="MASQUE DE SAISIE "/>
      <sheetName val="MOIS 1 "/>
      <sheetName val="HEURES SUPP. MOIS 1 "/>
      <sheetName val="MOIS 2 "/>
      <sheetName val="HEURES SUPP. MOIS 2"/>
      <sheetName val="MOIS 3"/>
      <sheetName val="HEURES SUPP. MOIS 3"/>
      <sheetName val="SUIVI RETRAITE "/>
      <sheetName val="CET "/>
      <sheetName val="DSN CET "/>
      <sheetName val="SUIVI LIMITE 2,25 SMIC"/>
      <sheetName val="SUIVI ALLOCATIONS FAMILIALES"/>
      <sheetName val="Red. Gen. de Cot. Janv"/>
      <sheetName val="Red. Gen. de  Cot. Mois  Isolé"/>
      <sheetName val="Matrice IJSS Maladie"/>
      <sheetName val="Matrice IJSS Maternité"/>
      <sheetName val="Matrice IJSS AT"/>
      <sheetName val="Matrice Val Abs"/>
      <sheetName val="Feuille de Contrôle Vierge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57">
          <cell r="E57">
            <v>22</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ESENTATION "/>
      <sheetName val="INTRODUCTION "/>
      <sheetName val="Masque de Saisie"/>
      <sheetName val="BP VERSION JANVIER 2023"/>
      <sheetName val="BP FORMAT JUILLET 2023"/>
      <sheetName val="HEURES SUPPLEMENTAIRES "/>
      <sheetName val="FEUILLE DE CONTROLE "/>
      <sheetName val="TABLE DES TAUX 2025 "/>
      <sheetName val="TR Matrice Net Imposable "/>
      <sheetName val="TR Matrice Cotisations "/>
      <sheetName val="RED. GEN. de COT. Janv"/>
      <sheetName val="Red Gen de CoBP Format Juillet"/>
      <sheetName val="ENONCE  2025"/>
      <sheetName val="MAQUETTE ASTREINTE "/>
      <sheetName val="CORRECTION 2025"/>
      <sheetName val="BP 1"/>
      <sheetName val="BP 2"/>
      <sheetName val="BP 3"/>
      <sheetName val="TAUX NEUTRE "/>
      <sheetName val="TAUX NEUTRE AU 1 er Mai 2025 "/>
      <sheetName val="MATRICE IJSS ABSENCE "/>
      <sheetName val="MATRICE IJSS MALADIE"/>
      <sheetName val="MATRICE IJSS MATERNITE "/>
      <sheetName val="MATRICE ISS AT "/>
    </sheetNames>
    <sheetDataSet>
      <sheetData sheetId="0"/>
      <sheetData sheetId="1"/>
      <sheetData sheetId="2"/>
      <sheetData sheetId="3"/>
      <sheetData sheetId="4">
        <row r="89">
          <cell r="D89">
            <v>1571.54</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16.bin"/><Relationship Id="rId4"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0.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7"/>
  <sheetViews>
    <sheetView topLeftCell="D201" zoomScale="140" zoomScaleNormal="140" workbookViewId="0">
      <selection activeCell="G202" sqref="G202"/>
    </sheetView>
  </sheetViews>
  <sheetFormatPr baseColWidth="10" defaultRowHeight="14.4" x14ac:dyDescent="0.3"/>
  <cols>
    <col min="14" max="14" width="23.5546875" customWidth="1"/>
    <col min="15" max="15" width="12.77734375" customWidth="1"/>
  </cols>
  <sheetData>
    <row r="1" spans="2:16" x14ac:dyDescent="0.3">
      <c r="J1" s="664" t="s">
        <v>541</v>
      </c>
      <c r="K1" s="664"/>
      <c r="L1" s="664"/>
      <c r="M1" s="664"/>
      <c r="N1" s="664"/>
      <c r="O1" s="664"/>
      <c r="P1" s="664"/>
    </row>
    <row r="3" spans="2:16" x14ac:dyDescent="0.3">
      <c r="J3" s="58" t="s">
        <v>542</v>
      </c>
      <c r="M3" s="58"/>
      <c r="N3" s="58"/>
      <c r="O3" s="58"/>
    </row>
    <row r="4" spans="2:16" x14ac:dyDescent="0.3">
      <c r="L4" s="58" t="s">
        <v>543</v>
      </c>
      <c r="M4" s="58"/>
      <c r="N4" s="58"/>
      <c r="O4" s="58"/>
    </row>
    <row r="5" spans="2:16" x14ac:dyDescent="0.3">
      <c r="L5" s="58" t="s">
        <v>544</v>
      </c>
      <c r="M5" s="58"/>
      <c r="N5" s="58"/>
      <c r="O5" s="58"/>
    </row>
    <row r="6" spans="2:16" x14ac:dyDescent="0.3">
      <c r="L6" s="58"/>
      <c r="M6" s="58"/>
      <c r="N6" s="58"/>
      <c r="O6" s="58"/>
    </row>
    <row r="7" spans="2:16" ht="18" x14ac:dyDescent="0.3">
      <c r="B7" s="665" t="s">
        <v>545</v>
      </c>
      <c r="C7" s="666"/>
      <c r="D7" s="540"/>
      <c r="E7" s="540"/>
      <c r="I7" s="671" t="s">
        <v>546</v>
      </c>
      <c r="J7" s="672"/>
      <c r="L7" s="58" t="s">
        <v>547</v>
      </c>
      <c r="M7" s="58"/>
      <c r="N7" s="58"/>
      <c r="O7" s="58"/>
    </row>
    <row r="8" spans="2:16" ht="18" x14ac:dyDescent="0.3">
      <c r="B8" s="667"/>
      <c r="C8" s="668"/>
      <c r="D8" s="540"/>
      <c r="E8" s="540"/>
      <c r="I8" s="673"/>
      <c r="J8" s="674"/>
      <c r="L8" s="58"/>
      <c r="M8" s="58"/>
      <c r="N8" s="58"/>
      <c r="O8" s="58"/>
    </row>
    <row r="9" spans="2:16" ht="18" x14ac:dyDescent="0.3">
      <c r="B9" s="667"/>
      <c r="C9" s="668"/>
      <c r="D9" s="540"/>
      <c r="E9" s="540"/>
      <c r="I9" s="673"/>
      <c r="J9" s="674"/>
      <c r="L9" s="58" t="s">
        <v>548</v>
      </c>
      <c r="M9" s="58"/>
      <c r="N9" s="58"/>
      <c r="O9" s="58"/>
    </row>
    <row r="10" spans="2:16" ht="18" x14ac:dyDescent="0.3">
      <c r="B10" s="667"/>
      <c r="C10" s="668"/>
      <c r="D10" s="540"/>
      <c r="E10" s="540"/>
      <c r="I10" s="673"/>
      <c r="J10" s="674"/>
      <c r="L10" s="58"/>
      <c r="M10" s="58"/>
      <c r="N10" s="58"/>
      <c r="O10" s="58"/>
    </row>
    <row r="11" spans="2:16" ht="18" x14ac:dyDescent="0.3">
      <c r="B11" s="667"/>
      <c r="C11" s="668"/>
      <c r="D11" s="540"/>
      <c r="E11" s="540"/>
      <c r="I11" s="673"/>
      <c r="J11" s="674"/>
      <c r="L11" s="526" t="s">
        <v>549</v>
      </c>
      <c r="M11" s="58"/>
      <c r="N11" s="58"/>
      <c r="O11" s="58"/>
    </row>
    <row r="12" spans="2:16" ht="18" x14ac:dyDescent="0.3">
      <c r="B12" s="667"/>
      <c r="C12" s="668"/>
      <c r="D12" s="540"/>
      <c r="E12" s="540"/>
      <c r="I12" s="673"/>
      <c r="J12" s="674"/>
      <c r="L12" s="58"/>
      <c r="M12" s="58"/>
      <c r="N12" s="58"/>
      <c r="O12" s="58"/>
    </row>
    <row r="13" spans="2:16" ht="18" x14ac:dyDescent="0.3">
      <c r="B13" s="667"/>
      <c r="C13" s="668"/>
      <c r="D13" s="540"/>
      <c r="E13" s="540"/>
      <c r="I13" s="673"/>
      <c r="J13" s="674"/>
      <c r="L13" s="58" t="s">
        <v>550</v>
      </c>
      <c r="M13" s="58"/>
      <c r="N13" s="58"/>
      <c r="O13" s="58"/>
    </row>
    <row r="14" spans="2:16" ht="18" x14ac:dyDescent="0.3">
      <c r="B14" s="667"/>
      <c r="C14" s="668"/>
      <c r="D14" s="540"/>
      <c r="E14" s="540"/>
      <c r="I14" s="673"/>
      <c r="J14" s="674"/>
      <c r="L14" s="58"/>
      <c r="M14" s="58"/>
      <c r="N14" s="58"/>
      <c r="O14" s="58"/>
    </row>
    <row r="15" spans="2:16" ht="18" x14ac:dyDescent="0.3">
      <c r="B15" s="669"/>
      <c r="C15" s="670"/>
      <c r="D15" s="540"/>
      <c r="E15" s="540"/>
      <c r="I15" s="675"/>
      <c r="J15" s="676"/>
      <c r="L15" s="58" t="s">
        <v>551</v>
      </c>
      <c r="M15" s="58"/>
      <c r="N15" s="58"/>
      <c r="O15" s="58"/>
    </row>
    <row r="16" spans="2:16" x14ac:dyDescent="0.3">
      <c r="L16" s="58"/>
      <c r="M16" s="58"/>
      <c r="N16" s="58"/>
      <c r="O16" s="58"/>
    </row>
    <row r="17" spans="1:15" x14ac:dyDescent="0.3">
      <c r="L17" s="58" t="s">
        <v>13</v>
      </c>
      <c r="M17" s="58"/>
      <c r="N17" s="58"/>
      <c r="O17" s="58"/>
    </row>
    <row r="18" spans="1:15" x14ac:dyDescent="0.3">
      <c r="L18" s="58"/>
      <c r="M18" s="58"/>
      <c r="N18" s="58"/>
      <c r="O18" s="58"/>
    </row>
    <row r="19" spans="1:15" x14ac:dyDescent="0.3">
      <c r="L19" s="58" t="s">
        <v>552</v>
      </c>
      <c r="M19" s="58"/>
      <c r="N19" s="58"/>
      <c r="O19" s="58"/>
    </row>
    <row r="20" spans="1:15" x14ac:dyDescent="0.3">
      <c r="L20" s="58"/>
      <c r="M20" s="58"/>
      <c r="N20" s="58"/>
      <c r="O20" s="58"/>
    </row>
    <row r="21" spans="1:15" x14ac:dyDescent="0.3">
      <c r="L21" s="58" t="s">
        <v>351</v>
      </c>
      <c r="M21" s="58"/>
      <c r="N21" s="58"/>
      <c r="O21" s="58"/>
    </row>
    <row r="22" spans="1:15" x14ac:dyDescent="0.3">
      <c r="L22" s="58"/>
      <c r="M22" s="58"/>
      <c r="N22" s="58"/>
      <c r="O22" s="58"/>
    </row>
    <row r="23" spans="1:15" x14ac:dyDescent="0.3">
      <c r="A23" t="s">
        <v>553</v>
      </c>
      <c r="L23" s="58" t="s">
        <v>554</v>
      </c>
      <c r="M23" s="58"/>
      <c r="N23" s="58"/>
      <c r="O23" s="58"/>
    </row>
    <row r="24" spans="1:15" x14ac:dyDescent="0.3">
      <c r="A24" t="s">
        <v>555</v>
      </c>
    </row>
    <row r="25" spans="1:15" x14ac:dyDescent="0.3">
      <c r="A25" t="s">
        <v>556</v>
      </c>
    </row>
    <row r="26" spans="1:15" x14ac:dyDescent="0.3">
      <c r="A26" t="s">
        <v>557</v>
      </c>
      <c r="E26" s="657" t="s">
        <v>558</v>
      </c>
      <c r="F26" s="657"/>
      <c r="H26" s="657" t="s">
        <v>559</v>
      </c>
      <c r="I26" s="657"/>
      <c r="K26" s="657" t="s">
        <v>560</v>
      </c>
      <c r="L26" s="657"/>
    </row>
    <row r="27" spans="1:15" x14ac:dyDescent="0.3">
      <c r="A27" t="s">
        <v>561</v>
      </c>
    </row>
    <row r="28" spans="1:15" x14ac:dyDescent="0.3">
      <c r="B28" s="657"/>
      <c r="C28" s="657"/>
      <c r="E28" s="658" t="s">
        <v>562</v>
      </c>
      <c r="F28" s="659"/>
      <c r="H28" s="658" t="s">
        <v>563</v>
      </c>
      <c r="I28" s="659"/>
      <c r="K28" s="658" t="s">
        <v>563</v>
      </c>
      <c r="L28" s="659"/>
    </row>
    <row r="29" spans="1:15" x14ac:dyDescent="0.3">
      <c r="B29" s="657"/>
      <c r="C29" s="657"/>
      <c r="E29" s="660"/>
      <c r="F29" s="661"/>
      <c r="H29" s="660"/>
      <c r="I29" s="661"/>
      <c r="K29" s="660"/>
      <c r="L29" s="661"/>
    </row>
    <row r="30" spans="1:15" x14ac:dyDescent="0.3">
      <c r="B30" s="657"/>
      <c r="C30" s="657"/>
      <c r="E30" s="660"/>
      <c r="F30" s="661"/>
      <c r="H30" s="660"/>
      <c r="I30" s="661"/>
      <c r="K30" s="660"/>
      <c r="L30" s="661"/>
    </row>
    <row r="31" spans="1:15" x14ac:dyDescent="0.3">
      <c r="B31" s="657"/>
      <c r="C31" s="657"/>
      <c r="E31" s="660"/>
      <c r="F31" s="661"/>
      <c r="H31" s="660"/>
      <c r="I31" s="661"/>
      <c r="K31" s="660"/>
      <c r="L31" s="661"/>
    </row>
    <row r="32" spans="1:15" x14ac:dyDescent="0.3">
      <c r="B32" s="657"/>
      <c r="C32" s="657"/>
      <c r="E32" s="660"/>
      <c r="F32" s="661"/>
      <c r="H32" s="660"/>
      <c r="I32" s="661"/>
      <c r="K32" s="660"/>
      <c r="L32" s="661"/>
    </row>
    <row r="33" spans="2:12" x14ac:dyDescent="0.3">
      <c r="B33" s="657"/>
      <c r="C33" s="657"/>
      <c r="E33" s="660"/>
      <c r="F33" s="661"/>
      <c r="H33" s="660"/>
      <c r="I33" s="661"/>
      <c r="K33" s="660"/>
      <c r="L33" s="661"/>
    </row>
    <row r="34" spans="2:12" x14ac:dyDescent="0.3">
      <c r="B34" s="657"/>
      <c r="C34" s="657"/>
      <c r="E34" s="660"/>
      <c r="F34" s="661"/>
      <c r="H34" s="660"/>
      <c r="I34" s="661"/>
      <c r="K34" s="660"/>
      <c r="L34" s="661"/>
    </row>
    <row r="35" spans="2:12" x14ac:dyDescent="0.3">
      <c r="B35" s="657"/>
      <c r="C35" s="657"/>
      <c r="E35" s="660"/>
      <c r="F35" s="661"/>
      <c r="H35" s="660"/>
      <c r="I35" s="661"/>
      <c r="K35" s="660"/>
      <c r="L35" s="661"/>
    </row>
    <row r="36" spans="2:12" x14ac:dyDescent="0.3">
      <c r="B36" s="657"/>
      <c r="C36" s="657"/>
      <c r="E36" s="662"/>
      <c r="F36" s="663"/>
      <c r="H36" s="662"/>
      <c r="I36" s="663"/>
      <c r="K36" s="662"/>
      <c r="L36" s="663"/>
    </row>
    <row r="38" spans="2:12" x14ac:dyDescent="0.3">
      <c r="J38" t="s">
        <v>692</v>
      </c>
    </row>
    <row r="39" spans="2:12" ht="15.6" x14ac:dyDescent="0.3">
      <c r="B39" s="187" t="s">
        <v>564</v>
      </c>
      <c r="C39" s="187"/>
      <c r="D39" s="187"/>
      <c r="E39" s="187"/>
      <c r="F39" s="58"/>
      <c r="G39" s="58"/>
      <c r="J39" t="s">
        <v>693</v>
      </c>
    </row>
    <row r="40" spans="2:12" ht="15.6" x14ac:dyDescent="0.3">
      <c r="B40" s="187"/>
      <c r="C40" s="187"/>
      <c r="D40" s="187"/>
      <c r="E40" s="187"/>
      <c r="F40" s="58"/>
      <c r="G40" s="58"/>
      <c r="J40" t="s">
        <v>694</v>
      </c>
    </row>
    <row r="41" spans="2:12" ht="15.6" x14ac:dyDescent="0.3">
      <c r="B41" s="187"/>
      <c r="C41" s="187" t="s">
        <v>565</v>
      </c>
      <c r="D41" s="187"/>
      <c r="E41" s="187"/>
      <c r="F41" s="58"/>
      <c r="G41" s="58"/>
    </row>
    <row r="42" spans="2:12" ht="15.6" x14ac:dyDescent="0.3">
      <c r="B42" s="187"/>
      <c r="C42" s="187"/>
      <c r="D42" s="187"/>
      <c r="E42" s="187"/>
      <c r="F42" s="58"/>
      <c r="G42" s="58"/>
    </row>
    <row r="43" spans="2:12" ht="15.6" x14ac:dyDescent="0.3">
      <c r="B43" s="187"/>
      <c r="C43" s="187"/>
      <c r="D43" s="187" t="s">
        <v>566</v>
      </c>
      <c r="E43" s="187"/>
      <c r="F43" s="58"/>
      <c r="G43" s="58"/>
    </row>
    <row r="44" spans="2:12" ht="15.6" x14ac:dyDescent="0.3">
      <c r="B44" s="187"/>
      <c r="C44" s="187"/>
      <c r="D44" s="187" t="s">
        <v>567</v>
      </c>
      <c r="E44" s="187"/>
      <c r="F44" s="58"/>
      <c r="G44" s="58"/>
    </row>
    <row r="45" spans="2:12" ht="15.6" x14ac:dyDescent="0.3">
      <c r="B45" s="187"/>
      <c r="C45" s="27"/>
      <c r="D45" s="187"/>
      <c r="E45" s="187"/>
      <c r="F45" s="58"/>
      <c r="G45" s="58"/>
    </row>
    <row r="46" spans="2:12" ht="15.6" x14ac:dyDescent="0.3">
      <c r="B46" s="27"/>
      <c r="C46" s="27"/>
      <c r="D46" s="27"/>
      <c r="E46" s="187" t="s">
        <v>568</v>
      </c>
    </row>
    <row r="48" spans="2:12" ht="15.6" x14ac:dyDescent="0.3">
      <c r="C48" s="187" t="s">
        <v>569</v>
      </c>
      <c r="D48" s="187"/>
      <c r="E48" s="27"/>
    </row>
    <row r="49" spans="3:9" ht="15.6" x14ac:dyDescent="0.3">
      <c r="C49" s="187"/>
      <c r="D49" s="187" t="s">
        <v>570</v>
      </c>
      <c r="E49" s="27"/>
    </row>
    <row r="50" spans="3:9" ht="15.6" x14ac:dyDescent="0.3">
      <c r="C50" s="187"/>
      <c r="D50" s="187" t="s">
        <v>571</v>
      </c>
      <c r="E50" s="27"/>
    </row>
    <row r="51" spans="3:9" ht="15.6" x14ac:dyDescent="0.3">
      <c r="C51" s="187"/>
      <c r="D51" s="187" t="s">
        <v>572</v>
      </c>
      <c r="E51" s="27"/>
    </row>
    <row r="52" spans="3:9" ht="15.6" x14ac:dyDescent="0.3">
      <c r="C52" s="27"/>
      <c r="D52" s="187" t="s">
        <v>573</v>
      </c>
      <c r="E52" s="27"/>
    </row>
    <row r="53" spans="3:9" ht="15.6" x14ac:dyDescent="0.3">
      <c r="C53" s="27"/>
      <c r="D53" s="187" t="s">
        <v>574</v>
      </c>
      <c r="E53" s="27"/>
    </row>
    <row r="54" spans="3:9" ht="15.6" x14ac:dyDescent="0.3">
      <c r="C54" s="27"/>
      <c r="D54" s="187" t="s">
        <v>575</v>
      </c>
      <c r="E54" s="27"/>
    </row>
    <row r="55" spans="3:9" ht="15.6" x14ac:dyDescent="0.3">
      <c r="C55" s="27"/>
      <c r="D55" s="187" t="s">
        <v>576</v>
      </c>
      <c r="E55" s="27"/>
    </row>
    <row r="56" spans="3:9" ht="15.6" x14ac:dyDescent="0.3">
      <c r="D56" s="187" t="s">
        <v>577</v>
      </c>
    </row>
    <row r="57" spans="3:9" ht="15.6" x14ac:dyDescent="0.3">
      <c r="D57" s="187" t="s">
        <v>578</v>
      </c>
    </row>
    <row r="59" spans="3:9" x14ac:dyDescent="0.3">
      <c r="E59" s="58" t="s">
        <v>579</v>
      </c>
      <c r="F59" s="58"/>
      <c r="G59" s="58"/>
      <c r="H59" s="58"/>
      <c r="I59" s="58"/>
    </row>
    <row r="60" spans="3:9" x14ac:dyDescent="0.3">
      <c r="E60" s="58"/>
      <c r="F60" s="58" t="s">
        <v>580</v>
      </c>
      <c r="G60" s="58"/>
      <c r="H60" s="58"/>
      <c r="I60" s="58"/>
    </row>
    <row r="61" spans="3:9" x14ac:dyDescent="0.3">
      <c r="E61" s="58"/>
      <c r="F61" s="58" t="s">
        <v>581</v>
      </c>
      <c r="G61" s="58"/>
      <c r="H61" s="58"/>
      <c r="I61" s="58"/>
    </row>
    <row r="62" spans="3:9" x14ac:dyDescent="0.3">
      <c r="E62" s="58"/>
      <c r="F62" s="58"/>
      <c r="G62" s="58" t="s">
        <v>582</v>
      </c>
      <c r="H62" s="58"/>
      <c r="I62" s="58"/>
    </row>
    <row r="63" spans="3:9" x14ac:dyDescent="0.3">
      <c r="E63" s="58"/>
      <c r="F63" s="58"/>
      <c r="G63" s="58" t="s">
        <v>583</v>
      </c>
      <c r="H63" s="58"/>
      <c r="I63" s="58"/>
    </row>
    <row r="64" spans="3:9" x14ac:dyDescent="0.3">
      <c r="E64" s="58"/>
      <c r="F64" s="58"/>
      <c r="G64" s="58" t="s">
        <v>584</v>
      </c>
      <c r="H64" s="58"/>
      <c r="I64" s="58"/>
    </row>
    <row r="65" spans="2:10" x14ac:dyDescent="0.3">
      <c r="E65" s="58"/>
      <c r="F65" s="58"/>
      <c r="G65" s="58" t="s">
        <v>585</v>
      </c>
      <c r="H65" s="58"/>
      <c r="I65" s="58"/>
    </row>
    <row r="66" spans="2:10" x14ac:dyDescent="0.3">
      <c r="E66" s="58"/>
      <c r="F66" s="58"/>
      <c r="G66" s="58" t="s">
        <v>586</v>
      </c>
      <c r="H66" s="58"/>
      <c r="I66" s="58"/>
    </row>
    <row r="67" spans="2:10" x14ac:dyDescent="0.3">
      <c r="E67" s="58"/>
      <c r="F67" s="58"/>
      <c r="G67" s="58" t="s">
        <v>587</v>
      </c>
      <c r="H67" s="58"/>
      <c r="I67" s="58"/>
    </row>
    <row r="68" spans="2:10" x14ac:dyDescent="0.3">
      <c r="E68" s="58"/>
      <c r="F68" s="58"/>
      <c r="G68" s="58" t="s">
        <v>695</v>
      </c>
      <c r="H68" s="58"/>
      <c r="I68" s="58"/>
      <c r="J68" s="58"/>
    </row>
    <row r="69" spans="2:10" x14ac:dyDescent="0.3">
      <c r="E69" s="58"/>
      <c r="F69" s="58"/>
      <c r="G69" s="58" t="s">
        <v>773</v>
      </c>
      <c r="H69" s="58"/>
      <c r="I69" s="58"/>
      <c r="J69" s="58"/>
    </row>
    <row r="70" spans="2:10" x14ac:dyDescent="0.3">
      <c r="E70" s="58"/>
      <c r="F70" s="58"/>
      <c r="G70" s="58" t="s">
        <v>588</v>
      </c>
      <c r="H70" s="58"/>
      <c r="I70" s="58"/>
      <c r="J70" s="58"/>
    </row>
    <row r="71" spans="2:10" x14ac:dyDescent="0.3">
      <c r="G71" s="58" t="s">
        <v>589</v>
      </c>
      <c r="H71" s="58"/>
      <c r="I71" s="58"/>
      <c r="J71" s="58"/>
    </row>
    <row r="72" spans="2:10" x14ac:dyDescent="0.3">
      <c r="G72" s="58"/>
      <c r="H72" s="58" t="s">
        <v>590</v>
      </c>
      <c r="I72" s="58"/>
      <c r="J72" s="58"/>
    </row>
    <row r="73" spans="2:10" x14ac:dyDescent="0.3">
      <c r="G73" s="58"/>
      <c r="H73" s="526" t="s">
        <v>591</v>
      </c>
      <c r="I73" s="58"/>
      <c r="J73" s="58"/>
    </row>
    <row r="74" spans="2:10" x14ac:dyDescent="0.3">
      <c r="G74" s="58"/>
      <c r="H74" s="58" t="s">
        <v>592</v>
      </c>
      <c r="I74" s="58"/>
      <c r="J74" s="58"/>
    </row>
    <row r="75" spans="2:10" x14ac:dyDescent="0.3">
      <c r="G75" s="58"/>
      <c r="H75" s="58"/>
      <c r="I75" s="526" t="s">
        <v>593</v>
      </c>
      <c r="J75" s="58"/>
    </row>
    <row r="76" spans="2:10" x14ac:dyDescent="0.3">
      <c r="G76" s="58"/>
      <c r="H76" s="58"/>
      <c r="I76" s="58" t="s">
        <v>594</v>
      </c>
      <c r="J76" s="58"/>
    </row>
    <row r="77" spans="2:10" x14ac:dyDescent="0.3">
      <c r="G77" s="58"/>
      <c r="H77" s="58"/>
      <c r="I77" s="58" t="s">
        <v>595</v>
      </c>
      <c r="J77" s="58"/>
    </row>
    <row r="78" spans="2:10" x14ac:dyDescent="0.3">
      <c r="G78" s="58"/>
      <c r="H78" s="58"/>
      <c r="I78" s="58"/>
      <c r="J78" s="58"/>
    </row>
    <row r="79" spans="2:10" x14ac:dyDescent="0.3">
      <c r="B79" s="58" t="s">
        <v>596</v>
      </c>
      <c r="G79" s="58"/>
      <c r="H79" s="58"/>
      <c r="I79" s="58"/>
      <c r="J79" s="58"/>
    </row>
    <row r="80" spans="2:10" x14ac:dyDescent="0.3">
      <c r="G80" s="58"/>
      <c r="H80" s="58"/>
      <c r="I80" s="58"/>
      <c r="J80" s="58"/>
    </row>
    <row r="81" spans="2:10" x14ac:dyDescent="0.3">
      <c r="B81" s="526" t="s">
        <v>597</v>
      </c>
      <c r="C81" s="58"/>
      <c r="D81" s="58"/>
      <c r="E81" s="58"/>
      <c r="F81" s="58"/>
      <c r="G81" s="58"/>
      <c r="H81" s="58"/>
      <c r="I81" s="58"/>
      <c r="J81" s="58"/>
    </row>
    <row r="82" spans="2:10" x14ac:dyDescent="0.3">
      <c r="B82" s="58" t="s">
        <v>598</v>
      </c>
      <c r="C82" s="58"/>
      <c r="D82" s="58"/>
      <c r="E82" s="58"/>
      <c r="F82" s="58"/>
      <c r="G82" s="58"/>
      <c r="H82" s="58"/>
      <c r="I82" s="58"/>
      <c r="J82" s="58"/>
    </row>
    <row r="83" spans="2:10" x14ac:dyDescent="0.3">
      <c r="B83" s="58"/>
      <c r="D83" s="58"/>
      <c r="E83" s="58"/>
      <c r="F83" s="58"/>
      <c r="G83" s="58"/>
      <c r="H83" s="58"/>
      <c r="I83" s="58"/>
      <c r="J83" s="58"/>
    </row>
    <row r="84" spans="2:10" x14ac:dyDescent="0.3">
      <c r="C84" s="58" t="s">
        <v>599</v>
      </c>
    </row>
    <row r="85" spans="2:10" x14ac:dyDescent="0.3">
      <c r="C85" s="58" t="s">
        <v>600</v>
      </c>
    </row>
    <row r="86" spans="2:10" x14ac:dyDescent="0.3">
      <c r="C86" s="58"/>
    </row>
    <row r="87" spans="2:10" x14ac:dyDescent="0.3">
      <c r="C87" s="58" t="s">
        <v>601</v>
      </c>
    </row>
    <row r="88" spans="2:10" x14ac:dyDescent="0.3">
      <c r="C88" s="58" t="s">
        <v>602</v>
      </c>
    </row>
    <row r="89" spans="2:10" x14ac:dyDescent="0.3">
      <c r="C89" s="58" t="s">
        <v>603</v>
      </c>
    </row>
    <row r="90" spans="2:10" x14ac:dyDescent="0.3">
      <c r="C90" s="58" t="s">
        <v>604</v>
      </c>
    </row>
    <row r="91" spans="2:10" x14ac:dyDescent="0.3">
      <c r="C91" s="58"/>
    </row>
    <row r="92" spans="2:10" x14ac:dyDescent="0.3">
      <c r="B92" s="58" t="s">
        <v>605</v>
      </c>
      <c r="D92" s="58"/>
      <c r="E92" s="58"/>
    </row>
    <row r="93" spans="2:10" x14ac:dyDescent="0.3">
      <c r="B93" s="58"/>
      <c r="D93" s="58"/>
      <c r="E93" s="58"/>
    </row>
    <row r="94" spans="2:10" x14ac:dyDescent="0.3">
      <c r="C94" s="58"/>
      <c r="D94" s="58" t="s">
        <v>606</v>
      </c>
      <c r="E94" s="58"/>
    </row>
    <row r="95" spans="2:10" x14ac:dyDescent="0.3">
      <c r="C95" s="58"/>
      <c r="D95" s="58"/>
      <c r="E95" s="58" t="s">
        <v>607</v>
      </c>
    </row>
    <row r="96" spans="2:10" x14ac:dyDescent="0.3">
      <c r="E96" s="58" t="s">
        <v>608</v>
      </c>
    </row>
    <row r="97" spans="2:11" x14ac:dyDescent="0.3">
      <c r="D97" s="58" t="s">
        <v>609</v>
      </c>
    </row>
    <row r="98" spans="2:11" x14ac:dyDescent="0.3">
      <c r="D98" s="58" t="s">
        <v>610</v>
      </c>
    </row>
    <row r="99" spans="2:11" x14ac:dyDescent="0.3">
      <c r="D99" s="58" t="s">
        <v>611</v>
      </c>
    </row>
    <row r="101" spans="2:11" x14ac:dyDescent="0.3">
      <c r="B101" s="58" t="s">
        <v>612</v>
      </c>
    </row>
    <row r="103" spans="2:11" x14ac:dyDescent="0.3">
      <c r="B103" s="58" t="s">
        <v>613</v>
      </c>
    </row>
    <row r="106" spans="2:11" x14ac:dyDescent="0.3">
      <c r="C106" s="58" t="s">
        <v>614</v>
      </c>
      <c r="D106" s="58"/>
      <c r="E106" s="58"/>
      <c r="F106" s="58"/>
      <c r="G106" s="58"/>
      <c r="H106" s="58"/>
      <c r="I106" s="58"/>
      <c r="J106" s="58"/>
      <c r="K106" s="58"/>
    </row>
    <row r="107" spans="2:11" x14ac:dyDescent="0.3">
      <c r="C107" s="58"/>
      <c r="D107" s="58"/>
      <c r="E107" s="58"/>
      <c r="F107" s="58"/>
      <c r="G107" s="58"/>
      <c r="H107" s="58"/>
      <c r="I107" s="58"/>
      <c r="J107" s="58"/>
      <c r="K107" s="58"/>
    </row>
    <row r="108" spans="2:11" x14ac:dyDescent="0.3">
      <c r="C108" s="58"/>
      <c r="D108" s="58" t="s">
        <v>615</v>
      </c>
      <c r="E108" s="58"/>
      <c r="F108" s="58"/>
      <c r="G108" s="58"/>
      <c r="H108" s="58"/>
      <c r="I108" s="58"/>
      <c r="J108" s="58"/>
      <c r="K108" s="58"/>
    </row>
    <row r="109" spans="2:11" x14ac:dyDescent="0.3">
      <c r="C109" s="58"/>
      <c r="D109" s="58"/>
      <c r="E109" s="58"/>
      <c r="F109" s="58"/>
      <c r="G109" s="58"/>
      <c r="H109" s="58"/>
      <c r="I109" s="58"/>
      <c r="J109" s="58"/>
      <c r="K109" s="58"/>
    </row>
    <row r="110" spans="2:11" x14ac:dyDescent="0.3">
      <c r="C110" s="58"/>
      <c r="D110" s="58"/>
      <c r="E110" s="526" t="s">
        <v>616</v>
      </c>
      <c r="F110" s="58"/>
      <c r="G110" s="58"/>
      <c r="H110" s="58"/>
      <c r="I110" s="58"/>
      <c r="J110" s="58"/>
      <c r="K110" s="58"/>
    </row>
    <row r="111" spans="2:11" x14ac:dyDescent="0.3">
      <c r="C111" s="58"/>
      <c r="D111" s="58"/>
      <c r="E111" s="58" t="s">
        <v>765</v>
      </c>
      <c r="F111" s="58"/>
      <c r="G111" s="58"/>
      <c r="H111" s="58"/>
      <c r="I111" s="58"/>
      <c r="J111" s="58"/>
      <c r="K111" s="58"/>
    </row>
    <row r="112" spans="2:11" x14ac:dyDescent="0.3">
      <c r="C112" s="58"/>
      <c r="D112" s="58"/>
      <c r="E112" s="58"/>
      <c r="F112" s="58"/>
      <c r="G112" s="58"/>
      <c r="H112" s="58"/>
      <c r="I112" s="58"/>
      <c r="J112" s="58"/>
      <c r="K112" s="58"/>
    </row>
    <row r="113" spans="2:13" x14ac:dyDescent="0.3">
      <c r="C113" s="58"/>
      <c r="D113" s="58"/>
      <c r="E113" s="58"/>
      <c r="F113" s="58" t="s">
        <v>617</v>
      </c>
      <c r="G113" s="58"/>
      <c r="H113" s="58"/>
      <c r="I113" s="58"/>
      <c r="J113" s="58"/>
      <c r="K113" s="58"/>
    </row>
    <row r="114" spans="2:13" x14ac:dyDescent="0.3">
      <c r="C114" s="58"/>
      <c r="D114" s="58"/>
      <c r="E114" s="58"/>
      <c r="F114" s="58"/>
      <c r="G114" s="58"/>
      <c r="H114" s="58" t="s">
        <v>618</v>
      </c>
      <c r="I114" s="58"/>
      <c r="J114" s="58"/>
      <c r="K114" s="58"/>
    </row>
    <row r="115" spans="2:13" x14ac:dyDescent="0.3">
      <c r="C115" s="58"/>
      <c r="D115" s="58"/>
      <c r="E115" s="58"/>
      <c r="F115" s="58"/>
      <c r="G115" s="58"/>
      <c r="H115" s="58" t="s">
        <v>61</v>
      </c>
      <c r="I115" s="58"/>
      <c r="J115" s="58"/>
      <c r="K115" s="58"/>
    </row>
    <row r="116" spans="2:13" x14ac:dyDescent="0.3">
      <c r="C116" s="58"/>
      <c r="D116" s="58"/>
      <c r="E116" s="58"/>
      <c r="F116" s="58"/>
      <c r="G116" s="58"/>
      <c r="H116" s="58" t="s">
        <v>619</v>
      </c>
      <c r="I116" s="58"/>
      <c r="J116" s="58"/>
      <c r="K116" s="58"/>
    </row>
    <row r="117" spans="2:13" x14ac:dyDescent="0.3">
      <c r="C117" s="58"/>
      <c r="D117" s="58"/>
      <c r="E117" s="58"/>
      <c r="F117" s="58"/>
      <c r="G117" s="58"/>
      <c r="H117" s="58" t="s">
        <v>620</v>
      </c>
      <c r="I117" s="58"/>
      <c r="J117" s="58"/>
      <c r="K117" s="58"/>
    </row>
    <row r="118" spans="2:13" x14ac:dyDescent="0.3">
      <c r="C118" s="58"/>
      <c r="D118" s="58"/>
      <c r="E118" s="58"/>
      <c r="F118" s="58"/>
      <c r="G118" s="58"/>
      <c r="H118" s="58" t="s">
        <v>621</v>
      </c>
      <c r="I118" s="58"/>
      <c r="J118" s="58"/>
      <c r="K118" s="58"/>
    </row>
    <row r="119" spans="2:13" x14ac:dyDescent="0.3">
      <c r="C119" s="58"/>
      <c r="D119" s="58"/>
      <c r="E119" s="58"/>
      <c r="F119" s="58"/>
      <c r="G119" s="58"/>
      <c r="H119" s="58" t="s">
        <v>622</v>
      </c>
      <c r="I119" s="58"/>
      <c r="J119" s="58"/>
      <c r="K119" s="58"/>
    </row>
    <row r="120" spans="2:13" x14ac:dyDescent="0.3">
      <c r="C120" s="58"/>
      <c r="D120" s="58"/>
      <c r="E120" s="58"/>
      <c r="F120" s="58"/>
      <c r="G120" s="58"/>
      <c r="H120" s="58" t="s">
        <v>623</v>
      </c>
      <c r="I120" s="58"/>
      <c r="J120" s="58"/>
      <c r="K120" s="58"/>
    </row>
    <row r="121" spans="2:13" x14ac:dyDescent="0.3">
      <c r="C121" s="58"/>
      <c r="D121" s="58"/>
      <c r="E121" s="58"/>
      <c r="F121" s="58"/>
      <c r="G121" s="58"/>
      <c r="H121" s="58" t="s">
        <v>624</v>
      </c>
      <c r="I121" s="58"/>
      <c r="J121" s="58"/>
      <c r="K121" s="58"/>
    </row>
    <row r="122" spans="2:13" x14ac:dyDescent="0.3">
      <c r="C122" s="58"/>
      <c r="D122" s="58"/>
      <c r="E122" s="58"/>
      <c r="F122" s="58"/>
      <c r="G122" s="58"/>
      <c r="H122" s="58"/>
      <c r="I122" s="58"/>
      <c r="J122" s="58"/>
      <c r="K122" s="58"/>
    </row>
    <row r="123" spans="2:13" x14ac:dyDescent="0.3">
      <c r="B123" s="541"/>
      <c r="C123" s="542"/>
      <c r="D123" s="542"/>
      <c r="E123" s="542"/>
      <c r="F123" s="542"/>
      <c r="G123" s="542"/>
      <c r="H123" s="542"/>
      <c r="I123" s="542"/>
      <c r="J123" s="542"/>
      <c r="K123" s="542"/>
      <c r="L123" s="543"/>
      <c r="M123" s="544"/>
    </row>
    <row r="124" spans="2:13" x14ac:dyDescent="0.3">
      <c r="B124" s="443"/>
      <c r="C124" s="58" t="s">
        <v>625</v>
      </c>
      <c r="D124" s="58"/>
      <c r="E124" s="58"/>
      <c r="H124" s="58"/>
      <c r="I124" s="58"/>
      <c r="J124" s="58"/>
      <c r="K124" s="58"/>
      <c r="M124" s="545"/>
    </row>
    <row r="125" spans="2:13" x14ac:dyDescent="0.3">
      <c r="B125" s="443"/>
      <c r="C125" s="58" t="s">
        <v>626</v>
      </c>
      <c r="D125" s="58"/>
      <c r="E125" s="58"/>
      <c r="H125" s="58"/>
      <c r="I125" s="58"/>
      <c r="J125" s="58"/>
      <c r="K125" s="58"/>
      <c r="M125" s="545"/>
    </row>
    <row r="126" spans="2:13" x14ac:dyDescent="0.3">
      <c r="B126" s="443"/>
      <c r="M126" s="545"/>
    </row>
    <row r="127" spans="2:13" x14ac:dyDescent="0.3">
      <c r="B127" s="443"/>
      <c r="D127" s="58" t="s">
        <v>627</v>
      </c>
      <c r="M127" s="545"/>
    </row>
    <row r="128" spans="2:13" x14ac:dyDescent="0.3">
      <c r="B128" s="443"/>
      <c r="D128" s="58" t="s">
        <v>628</v>
      </c>
      <c r="M128" s="545"/>
    </row>
    <row r="129" spans="2:13" x14ac:dyDescent="0.3">
      <c r="B129" s="443"/>
      <c r="D129" s="58" t="s">
        <v>629</v>
      </c>
      <c r="M129" s="545"/>
    </row>
    <row r="130" spans="2:13" x14ac:dyDescent="0.3">
      <c r="B130" s="443"/>
      <c r="D130" s="58" t="s">
        <v>630</v>
      </c>
      <c r="M130" s="545"/>
    </row>
    <row r="131" spans="2:13" x14ac:dyDescent="0.3">
      <c r="B131" s="443"/>
      <c r="D131" s="58"/>
      <c r="M131" s="545"/>
    </row>
    <row r="132" spans="2:13" x14ac:dyDescent="0.3">
      <c r="B132" s="443"/>
      <c r="M132" s="545"/>
    </row>
    <row r="133" spans="2:13" x14ac:dyDescent="0.3">
      <c r="B133" s="443"/>
      <c r="C133" s="58" t="s">
        <v>631</v>
      </c>
      <c r="M133" s="545"/>
    </row>
    <row r="134" spans="2:13" x14ac:dyDescent="0.3">
      <c r="B134" s="443"/>
      <c r="C134" s="58" t="s">
        <v>632</v>
      </c>
      <c r="M134" s="545"/>
    </row>
    <row r="135" spans="2:13" x14ac:dyDescent="0.3">
      <c r="B135" s="443"/>
      <c r="M135" s="545"/>
    </row>
    <row r="136" spans="2:13" x14ac:dyDescent="0.3">
      <c r="B136" s="443"/>
      <c r="C136" s="490" t="s">
        <v>633</v>
      </c>
      <c r="M136" s="545"/>
    </row>
    <row r="137" spans="2:13" x14ac:dyDescent="0.3">
      <c r="B137" s="546"/>
      <c r="C137" s="547"/>
      <c r="D137" s="547"/>
      <c r="E137" s="547"/>
      <c r="F137" s="547"/>
      <c r="G137" s="547"/>
      <c r="H137" s="547"/>
      <c r="I137" s="547"/>
      <c r="J137" s="547"/>
      <c r="K137" s="547"/>
      <c r="L137" s="547"/>
      <c r="M137" s="548"/>
    </row>
    <row r="139" spans="2:13" x14ac:dyDescent="0.3">
      <c r="B139" s="58" t="s">
        <v>836</v>
      </c>
    </row>
    <row r="140" spans="2:13" x14ac:dyDescent="0.3">
      <c r="B140" s="58" t="s">
        <v>634</v>
      </c>
    </row>
    <row r="142" spans="2:13" x14ac:dyDescent="0.3">
      <c r="B142" s="58" t="s">
        <v>635</v>
      </c>
      <c r="C142" s="58"/>
      <c r="D142" s="58"/>
      <c r="E142" s="58"/>
      <c r="F142" s="58"/>
      <c r="G142" s="58"/>
      <c r="H142" s="58"/>
      <c r="I142" s="58"/>
      <c r="J142" s="58"/>
      <c r="K142" s="58"/>
      <c r="L142" s="58"/>
      <c r="M142" s="58"/>
    </row>
    <row r="143" spans="2:13" x14ac:dyDescent="0.3">
      <c r="B143" s="58"/>
      <c r="C143" s="58"/>
      <c r="D143" s="58"/>
      <c r="E143" s="58"/>
      <c r="F143" s="58"/>
      <c r="G143" s="58"/>
      <c r="H143" s="58"/>
      <c r="I143" s="58"/>
      <c r="J143" s="58"/>
      <c r="K143" s="58"/>
      <c r="L143" s="58"/>
      <c r="M143" s="58"/>
    </row>
    <row r="144" spans="2:13" x14ac:dyDescent="0.3">
      <c r="B144" s="58"/>
      <c r="C144" s="490" t="s">
        <v>636</v>
      </c>
      <c r="D144" s="58"/>
      <c r="E144" s="58"/>
      <c r="F144" s="58"/>
      <c r="G144" s="58"/>
      <c r="H144" s="58"/>
      <c r="I144" s="58"/>
      <c r="J144" s="58"/>
      <c r="K144" s="58"/>
      <c r="L144" s="58"/>
      <c r="M144" s="58"/>
    </row>
    <row r="145" spans="2:13" x14ac:dyDescent="0.3">
      <c r="B145" s="58"/>
      <c r="C145" s="58"/>
      <c r="D145" s="58"/>
      <c r="E145" s="58"/>
      <c r="F145" s="58"/>
      <c r="G145" s="58"/>
      <c r="H145" s="58"/>
      <c r="I145" s="58"/>
      <c r="J145" s="58"/>
      <c r="K145" s="58"/>
      <c r="L145" s="58"/>
      <c r="M145" s="58"/>
    </row>
    <row r="146" spans="2:13" x14ac:dyDescent="0.3">
      <c r="B146" s="58"/>
      <c r="C146" s="58"/>
      <c r="D146" s="58" t="s">
        <v>637</v>
      </c>
      <c r="E146" s="58"/>
      <c r="F146" s="58"/>
      <c r="G146" s="58"/>
      <c r="H146" s="58"/>
      <c r="I146" s="58"/>
      <c r="J146" s="58"/>
      <c r="K146" s="58"/>
      <c r="L146" s="58"/>
      <c r="M146" s="58"/>
    </row>
    <row r="147" spans="2:13" x14ac:dyDescent="0.3">
      <c r="B147" s="58"/>
      <c r="C147" s="58"/>
      <c r="D147" s="58"/>
      <c r="E147" s="58"/>
      <c r="F147" s="58"/>
      <c r="G147" s="58"/>
      <c r="H147" s="58"/>
      <c r="I147" s="58"/>
      <c r="J147" s="58"/>
      <c r="K147" s="58"/>
      <c r="L147" s="58"/>
      <c r="M147" s="58"/>
    </row>
    <row r="148" spans="2:13" x14ac:dyDescent="0.3">
      <c r="B148" s="58"/>
      <c r="C148" s="58"/>
      <c r="D148" s="58"/>
      <c r="E148" s="58" t="s">
        <v>638</v>
      </c>
      <c r="F148" s="58"/>
      <c r="G148" s="58"/>
      <c r="H148" s="58"/>
      <c r="I148" s="58"/>
      <c r="J148" s="58"/>
      <c r="K148" s="58"/>
      <c r="L148" s="58"/>
      <c r="M148" s="58"/>
    </row>
    <row r="149" spans="2:13" x14ac:dyDescent="0.3">
      <c r="B149" s="58"/>
      <c r="C149" s="58"/>
      <c r="D149" s="58"/>
      <c r="E149" s="58"/>
      <c r="F149" s="58"/>
      <c r="G149" s="58"/>
      <c r="H149" s="58"/>
      <c r="I149" s="58"/>
      <c r="J149" s="58"/>
      <c r="K149" s="58"/>
      <c r="L149" s="58"/>
      <c r="M149" s="58"/>
    </row>
    <row r="150" spans="2:13" x14ac:dyDescent="0.3">
      <c r="B150" s="58"/>
      <c r="C150" s="58"/>
      <c r="D150" s="58"/>
      <c r="E150" s="58"/>
      <c r="F150" s="58" t="s">
        <v>639</v>
      </c>
      <c r="G150" s="58"/>
      <c r="H150" s="58"/>
      <c r="I150" s="58"/>
      <c r="J150" s="58"/>
      <c r="K150" s="58"/>
      <c r="L150" s="58"/>
      <c r="M150" s="58"/>
    </row>
    <row r="151" spans="2:13" x14ac:dyDescent="0.3">
      <c r="B151" s="58"/>
      <c r="C151" s="58"/>
      <c r="D151" s="58"/>
      <c r="E151" s="58"/>
      <c r="F151" s="58"/>
      <c r="G151" s="58"/>
      <c r="H151" s="58"/>
      <c r="I151" s="58"/>
      <c r="J151" s="58"/>
      <c r="K151" s="58"/>
      <c r="L151" s="58"/>
      <c r="M151" s="58"/>
    </row>
    <row r="152" spans="2:13" x14ac:dyDescent="0.3">
      <c r="G152" s="58" t="s">
        <v>640</v>
      </c>
    </row>
    <row r="153" spans="2:13" x14ac:dyDescent="0.3">
      <c r="G153" s="58" t="s">
        <v>641</v>
      </c>
    </row>
    <row r="154" spans="2:13" x14ac:dyDescent="0.3">
      <c r="G154" s="58" t="s">
        <v>642</v>
      </c>
    </row>
    <row r="155" spans="2:13" x14ac:dyDescent="0.3">
      <c r="G155" s="58" t="s">
        <v>643</v>
      </c>
    </row>
    <row r="156" spans="2:13" x14ac:dyDescent="0.3">
      <c r="G156" s="58" t="s">
        <v>561</v>
      </c>
    </row>
    <row r="158" spans="2:13" x14ac:dyDescent="0.3">
      <c r="D158" s="58" t="s">
        <v>644</v>
      </c>
    </row>
    <row r="160" spans="2:13" x14ac:dyDescent="0.3">
      <c r="D160" s="58" t="s">
        <v>645</v>
      </c>
    </row>
    <row r="161" spans="4:15" x14ac:dyDescent="0.3">
      <c r="D161" s="58"/>
    </row>
    <row r="162" spans="4:15" x14ac:dyDescent="0.3">
      <c r="D162" s="58"/>
      <c r="E162" s="58" t="s">
        <v>646</v>
      </c>
      <c r="F162" s="58"/>
      <c r="G162" s="58"/>
      <c r="H162" s="58"/>
      <c r="I162" s="58"/>
      <c r="J162" s="58"/>
      <c r="K162" s="58"/>
      <c r="L162" s="58"/>
      <c r="M162" s="58"/>
      <c r="N162" s="58"/>
      <c r="O162" s="58"/>
    </row>
    <row r="163" spans="4:15" x14ac:dyDescent="0.3">
      <c r="D163" s="58"/>
      <c r="E163" s="58" t="s">
        <v>647</v>
      </c>
      <c r="G163" s="58"/>
      <c r="H163" s="58"/>
      <c r="I163" s="58"/>
      <c r="J163" s="58"/>
      <c r="K163" s="58"/>
      <c r="L163" s="58"/>
      <c r="M163" s="58"/>
      <c r="N163" s="58"/>
      <c r="O163" s="58"/>
    </row>
    <row r="165" spans="4:15" x14ac:dyDescent="0.3">
      <c r="D165" s="58" t="s">
        <v>648</v>
      </c>
      <c r="H165" s="58"/>
    </row>
    <row r="167" spans="4:15" x14ac:dyDescent="0.3">
      <c r="D167" s="58" t="s">
        <v>649</v>
      </c>
      <c r="E167" s="58"/>
      <c r="F167" s="58"/>
      <c r="G167" s="58"/>
      <c r="H167" s="58"/>
    </row>
    <row r="168" spans="4:15" x14ac:dyDescent="0.3">
      <c r="D168" s="58"/>
      <c r="E168" s="58"/>
      <c r="F168" s="58"/>
      <c r="G168" s="58"/>
      <c r="H168" s="58"/>
    </row>
    <row r="169" spans="4:15" x14ac:dyDescent="0.3">
      <c r="D169" s="58" t="s">
        <v>650</v>
      </c>
      <c r="E169" s="58"/>
      <c r="F169" s="58"/>
      <c r="G169" s="58"/>
      <c r="H169" s="58"/>
    </row>
    <row r="170" spans="4:15" x14ac:dyDescent="0.3">
      <c r="D170" s="58"/>
      <c r="E170" s="58"/>
      <c r="F170" s="58"/>
      <c r="G170" s="58"/>
      <c r="H170" s="58"/>
    </row>
    <row r="171" spans="4:15" x14ac:dyDescent="0.3">
      <c r="D171" s="58"/>
      <c r="E171" s="58"/>
      <c r="F171" s="58" t="s">
        <v>651</v>
      </c>
      <c r="G171" s="58"/>
      <c r="H171" s="58"/>
    </row>
    <row r="172" spans="4:15" x14ac:dyDescent="0.3">
      <c r="D172" s="58"/>
      <c r="E172" s="58"/>
      <c r="F172" s="58" t="s">
        <v>652</v>
      </c>
      <c r="G172" s="58"/>
      <c r="H172" s="58"/>
    </row>
    <row r="173" spans="4:15" x14ac:dyDescent="0.3">
      <c r="D173" s="58"/>
      <c r="E173" s="58"/>
      <c r="F173" s="58"/>
      <c r="G173" s="58" t="s">
        <v>653</v>
      </c>
      <c r="H173" s="58"/>
    </row>
    <row r="174" spans="4:15" x14ac:dyDescent="0.3">
      <c r="D174" s="58"/>
      <c r="E174" s="58"/>
      <c r="F174" s="58" t="s">
        <v>654</v>
      </c>
      <c r="G174" s="58"/>
      <c r="H174" s="58"/>
    </row>
    <row r="175" spans="4:15" x14ac:dyDescent="0.3">
      <c r="D175" s="58"/>
      <c r="E175" s="58"/>
      <c r="F175" s="58" t="s">
        <v>655</v>
      </c>
      <c r="G175" s="58"/>
      <c r="H175" s="58"/>
    </row>
    <row r="176" spans="4:15" x14ac:dyDescent="0.3">
      <c r="D176" s="58"/>
      <c r="E176" s="58"/>
      <c r="F176" s="58" t="s">
        <v>656</v>
      </c>
      <c r="G176" s="58"/>
      <c r="H176" s="58"/>
    </row>
    <row r="178" spans="3:8" x14ac:dyDescent="0.3">
      <c r="C178" s="58" t="s">
        <v>657</v>
      </c>
    </row>
    <row r="180" spans="3:8" x14ac:dyDescent="0.3">
      <c r="E180" s="58" t="s">
        <v>651</v>
      </c>
    </row>
    <row r="181" spans="3:8" x14ac:dyDescent="0.3">
      <c r="E181" t="s">
        <v>658</v>
      </c>
    </row>
    <row r="183" spans="3:8" x14ac:dyDescent="0.3">
      <c r="C183" s="490" t="s">
        <v>659</v>
      </c>
      <c r="D183" s="58"/>
      <c r="E183" s="58"/>
      <c r="F183" s="58"/>
      <c r="G183" s="58"/>
      <c r="H183" s="58"/>
    </row>
    <row r="184" spans="3:8" x14ac:dyDescent="0.3">
      <c r="C184" s="58"/>
      <c r="D184" s="58"/>
      <c r="E184" s="58"/>
      <c r="F184" s="58"/>
      <c r="G184" s="58"/>
      <c r="H184" s="58"/>
    </row>
    <row r="185" spans="3:8" x14ac:dyDescent="0.3">
      <c r="C185" s="58"/>
      <c r="D185" s="58" t="s">
        <v>760</v>
      </c>
      <c r="E185" s="58"/>
      <c r="F185" s="58"/>
      <c r="G185" s="58"/>
      <c r="H185" s="58"/>
    </row>
    <row r="186" spans="3:8" x14ac:dyDescent="0.3">
      <c r="C186" s="58"/>
      <c r="D186" s="58"/>
      <c r="E186" s="58"/>
      <c r="F186" s="58"/>
      <c r="G186" s="58"/>
      <c r="H186" s="58"/>
    </row>
    <row r="187" spans="3:8" x14ac:dyDescent="0.3">
      <c r="C187" s="58"/>
      <c r="D187" s="58"/>
      <c r="E187" s="58" t="s">
        <v>660</v>
      </c>
      <c r="F187" s="58"/>
      <c r="G187" s="58"/>
      <c r="H187" s="58"/>
    </row>
    <row r="188" spans="3:8" x14ac:dyDescent="0.3">
      <c r="C188" s="58"/>
      <c r="D188" s="58"/>
      <c r="E188" s="58"/>
      <c r="F188" s="58"/>
      <c r="G188" s="58"/>
      <c r="H188" s="58"/>
    </row>
    <row r="189" spans="3:8" x14ac:dyDescent="0.3">
      <c r="D189" s="58" t="s">
        <v>761</v>
      </c>
      <c r="E189" s="58"/>
      <c r="F189" s="58"/>
      <c r="G189" s="58"/>
      <c r="H189" s="58"/>
    </row>
    <row r="190" spans="3:8" x14ac:dyDescent="0.3">
      <c r="D190" s="58"/>
      <c r="E190" s="58"/>
      <c r="F190" s="58"/>
      <c r="G190" s="58"/>
      <c r="H190" s="58"/>
    </row>
    <row r="191" spans="3:8" x14ac:dyDescent="0.3">
      <c r="D191" s="58"/>
      <c r="E191" s="58" t="s">
        <v>661</v>
      </c>
      <c r="F191" s="58"/>
      <c r="G191" s="58"/>
      <c r="H191" s="58"/>
    </row>
    <row r="192" spans="3:8" x14ac:dyDescent="0.3">
      <c r="D192" s="58"/>
      <c r="E192" s="58"/>
      <c r="F192" s="58"/>
      <c r="G192" s="58"/>
      <c r="H192" s="58"/>
    </row>
    <row r="193" spans="2:10" x14ac:dyDescent="0.3">
      <c r="D193" s="58"/>
      <c r="E193" s="58" t="s">
        <v>662</v>
      </c>
      <c r="F193" s="58"/>
      <c r="G193" s="58"/>
      <c r="H193" s="58"/>
    </row>
    <row r="194" spans="2:10" x14ac:dyDescent="0.3">
      <c r="D194" s="58"/>
      <c r="E194" s="58"/>
      <c r="F194" s="58"/>
      <c r="G194" s="58"/>
      <c r="H194" s="58"/>
    </row>
    <row r="195" spans="2:10" x14ac:dyDescent="0.3">
      <c r="D195" s="58"/>
      <c r="E195" s="58" t="s">
        <v>663</v>
      </c>
      <c r="F195" s="58"/>
      <c r="G195" s="58"/>
      <c r="H195" s="58"/>
      <c r="I195" s="58"/>
      <c r="J195" s="58"/>
    </row>
    <row r="196" spans="2:10" x14ac:dyDescent="0.3">
      <c r="D196" s="58"/>
      <c r="E196" s="58"/>
      <c r="F196" s="58"/>
      <c r="G196" s="58"/>
      <c r="H196" s="58"/>
      <c r="I196" s="58"/>
      <c r="J196" s="58"/>
    </row>
    <row r="197" spans="2:10" x14ac:dyDescent="0.3">
      <c r="D197" s="58"/>
      <c r="E197" s="58"/>
      <c r="F197" s="58"/>
      <c r="G197" s="58" t="s">
        <v>471</v>
      </c>
      <c r="H197" s="58"/>
      <c r="I197" s="58"/>
      <c r="J197" s="58"/>
    </row>
    <row r="198" spans="2:10" x14ac:dyDescent="0.3">
      <c r="D198" s="58"/>
      <c r="E198" s="58"/>
      <c r="F198" s="58"/>
      <c r="G198" s="58" t="s">
        <v>664</v>
      </c>
      <c r="H198" s="58"/>
      <c r="I198" s="58"/>
      <c r="J198" s="58"/>
    </row>
    <row r="199" spans="2:10" x14ac:dyDescent="0.3">
      <c r="D199" s="58"/>
      <c r="E199" s="58"/>
      <c r="F199" s="58"/>
      <c r="G199" s="58"/>
      <c r="H199" s="58"/>
      <c r="I199" s="58"/>
      <c r="J199" s="58"/>
    </row>
    <row r="200" spans="2:10" x14ac:dyDescent="0.3">
      <c r="D200" s="58"/>
      <c r="E200" s="58"/>
      <c r="F200" s="58" t="s">
        <v>665</v>
      </c>
      <c r="G200" s="58"/>
      <c r="H200" s="58"/>
      <c r="I200" s="58"/>
      <c r="J200" s="58"/>
    </row>
    <row r="201" spans="2:10" x14ac:dyDescent="0.3">
      <c r="D201" s="58"/>
      <c r="E201" s="58"/>
      <c r="F201" s="58"/>
      <c r="G201" s="58"/>
      <c r="H201" s="58"/>
      <c r="I201" s="58"/>
      <c r="J201" s="58"/>
    </row>
    <row r="202" spans="2:10" x14ac:dyDescent="0.3">
      <c r="D202" s="58" t="s">
        <v>666</v>
      </c>
      <c r="E202" s="58"/>
      <c r="F202" s="58"/>
      <c r="G202" s="58"/>
      <c r="H202" s="58"/>
      <c r="I202" s="58"/>
      <c r="J202" s="58"/>
    </row>
    <row r="203" spans="2:10" x14ac:dyDescent="0.3">
      <c r="D203" s="58"/>
      <c r="E203" s="58"/>
      <c r="F203" s="58"/>
      <c r="G203" s="58"/>
      <c r="H203" s="58"/>
      <c r="I203" s="58"/>
      <c r="J203" s="58"/>
    </row>
    <row r="204" spans="2:10" x14ac:dyDescent="0.3">
      <c r="B204" s="58"/>
      <c r="C204" s="58" t="s">
        <v>667</v>
      </c>
      <c r="D204" s="58"/>
      <c r="E204" s="58"/>
      <c r="F204" s="58"/>
      <c r="G204" s="58"/>
      <c r="H204" s="58"/>
      <c r="I204" s="58"/>
      <c r="J204" s="58"/>
    </row>
    <row r="205" spans="2:10" x14ac:dyDescent="0.3">
      <c r="B205" s="58"/>
      <c r="C205" s="58"/>
      <c r="D205" s="58"/>
      <c r="E205" s="58"/>
    </row>
    <row r="206" spans="2:10" x14ac:dyDescent="0.3">
      <c r="B206" s="58"/>
      <c r="C206" s="58"/>
      <c r="D206" s="58" t="s">
        <v>668</v>
      </c>
      <c r="E206" s="58"/>
    </row>
    <row r="208" spans="2:10" x14ac:dyDescent="0.3">
      <c r="E208" s="526" t="s">
        <v>669</v>
      </c>
      <c r="F208" s="58"/>
    </row>
    <row r="209" spans="4:9" x14ac:dyDescent="0.3">
      <c r="E209" s="58" t="s">
        <v>670</v>
      </c>
    </row>
    <row r="211" spans="4:9" x14ac:dyDescent="0.3">
      <c r="D211" s="58" t="s">
        <v>671</v>
      </c>
      <c r="E211" s="58"/>
      <c r="F211" s="58"/>
      <c r="G211" s="58"/>
      <c r="H211" s="58"/>
      <c r="I211" s="58"/>
    </row>
    <row r="212" spans="4:9" x14ac:dyDescent="0.3">
      <c r="D212" s="58"/>
      <c r="E212" s="58"/>
      <c r="F212" s="58"/>
      <c r="G212" s="58"/>
      <c r="H212" s="58"/>
      <c r="I212" s="58"/>
    </row>
    <row r="213" spans="4:9" x14ac:dyDescent="0.3">
      <c r="D213" s="58" t="s">
        <v>672</v>
      </c>
      <c r="E213" s="58"/>
      <c r="F213" s="58"/>
      <c r="G213" s="58"/>
      <c r="H213" s="58"/>
      <c r="I213" s="58"/>
    </row>
    <row r="214" spans="4:9" x14ac:dyDescent="0.3">
      <c r="D214" s="58"/>
      <c r="E214" s="58"/>
      <c r="F214" s="58"/>
      <c r="G214" s="58"/>
      <c r="H214" s="58"/>
      <c r="I214" s="58"/>
    </row>
    <row r="215" spans="4:9" x14ac:dyDescent="0.3">
      <c r="D215" s="58"/>
      <c r="E215" s="526" t="s">
        <v>673</v>
      </c>
      <c r="F215" s="58"/>
      <c r="G215" s="58"/>
      <c r="H215" s="58"/>
      <c r="I215" s="58"/>
    </row>
    <row r="216" spans="4:9" x14ac:dyDescent="0.3">
      <c r="D216" s="58"/>
      <c r="E216" s="58" t="s">
        <v>674</v>
      </c>
      <c r="F216" s="58"/>
      <c r="G216" s="58"/>
      <c r="H216" s="58"/>
      <c r="I216" s="58"/>
    </row>
    <row r="218" spans="4:9" x14ac:dyDescent="0.3">
      <c r="E218" s="526" t="s">
        <v>675</v>
      </c>
    </row>
    <row r="219" spans="4:9" x14ac:dyDescent="0.3">
      <c r="E219" s="58" t="s">
        <v>676</v>
      </c>
    </row>
    <row r="221" spans="4:9" x14ac:dyDescent="0.3">
      <c r="E221" s="526" t="s">
        <v>677</v>
      </c>
    </row>
    <row r="223" spans="4:9" x14ac:dyDescent="0.3">
      <c r="E223" s="58" t="s">
        <v>678</v>
      </c>
    </row>
    <row r="226" spans="2:7" x14ac:dyDescent="0.3">
      <c r="C226" s="58" t="s">
        <v>679</v>
      </c>
      <c r="D226" s="58"/>
      <c r="E226" s="58"/>
      <c r="F226" s="58"/>
      <c r="G226" s="58"/>
    </row>
    <row r="227" spans="2:7" x14ac:dyDescent="0.3">
      <c r="C227" s="58"/>
      <c r="D227" s="58"/>
      <c r="E227" s="58"/>
      <c r="F227" s="58"/>
      <c r="G227" s="58"/>
    </row>
    <row r="228" spans="2:7" x14ac:dyDescent="0.3">
      <c r="C228" s="58"/>
      <c r="D228" s="58"/>
      <c r="E228" s="58" t="s">
        <v>680</v>
      </c>
      <c r="F228" s="58"/>
      <c r="G228" s="58"/>
    </row>
    <row r="229" spans="2:7" x14ac:dyDescent="0.3">
      <c r="C229" s="58"/>
      <c r="D229" s="58"/>
      <c r="E229" s="58"/>
      <c r="F229" s="58"/>
      <c r="G229" s="58"/>
    </row>
    <row r="230" spans="2:7" x14ac:dyDescent="0.3">
      <c r="C230" s="58"/>
      <c r="D230" s="58" t="s">
        <v>681</v>
      </c>
      <c r="G230" s="58"/>
    </row>
    <row r="231" spans="2:7" x14ac:dyDescent="0.3">
      <c r="C231" s="58"/>
      <c r="D231" s="58" t="s">
        <v>682</v>
      </c>
      <c r="G231" s="58"/>
    </row>
    <row r="232" spans="2:7" x14ac:dyDescent="0.3">
      <c r="C232" s="58"/>
      <c r="D232" s="58"/>
      <c r="E232" s="58" t="s">
        <v>683</v>
      </c>
      <c r="G232" s="58"/>
    </row>
    <row r="233" spans="2:7" x14ac:dyDescent="0.3">
      <c r="E233" s="58" t="s">
        <v>684</v>
      </c>
    </row>
    <row r="234" spans="2:7" x14ac:dyDescent="0.3">
      <c r="E234" t="s">
        <v>764</v>
      </c>
    </row>
    <row r="235" spans="2:7" x14ac:dyDescent="0.3">
      <c r="B235" s="58" t="s">
        <v>685</v>
      </c>
    </row>
    <row r="236" spans="2:7" x14ac:dyDescent="0.3">
      <c r="B236" s="58" t="s">
        <v>686</v>
      </c>
      <c r="C236" s="58"/>
    </row>
    <row r="237" spans="2:7" x14ac:dyDescent="0.3">
      <c r="C237" s="58"/>
    </row>
    <row r="238" spans="2:7" x14ac:dyDescent="0.3">
      <c r="B238" s="526" t="s">
        <v>687</v>
      </c>
    </row>
    <row r="239" spans="2:7" x14ac:dyDescent="0.3">
      <c r="B239" s="58" t="s">
        <v>688</v>
      </c>
    </row>
    <row r="240" spans="2:7" x14ac:dyDescent="0.3">
      <c r="B240" s="58" t="s">
        <v>689</v>
      </c>
    </row>
    <row r="241" spans="2:14" x14ac:dyDescent="0.3">
      <c r="B241" s="58" t="s">
        <v>690</v>
      </c>
    </row>
    <row r="242" spans="2:14" x14ac:dyDescent="0.3">
      <c r="B242" s="58" t="s">
        <v>691</v>
      </c>
    </row>
    <row r="243" spans="2:14" x14ac:dyDescent="0.3">
      <c r="B243" s="58"/>
    </row>
    <row r="244" spans="2:14" x14ac:dyDescent="0.3">
      <c r="B244" s="580" t="s">
        <v>763</v>
      </c>
      <c r="C244" s="579"/>
      <c r="D244" s="579"/>
      <c r="E244" s="579"/>
      <c r="F244" s="579"/>
      <c r="G244" s="579"/>
      <c r="H244" s="579"/>
      <c r="I244" s="579"/>
      <c r="J244" s="579"/>
      <c r="K244" s="579"/>
      <c r="L244" s="579"/>
      <c r="M244" s="579"/>
      <c r="N244" s="579"/>
    </row>
    <row r="245" spans="2:14" x14ac:dyDescent="0.3">
      <c r="B245" s="580" t="s">
        <v>762</v>
      </c>
      <c r="C245" s="579"/>
      <c r="D245" s="579"/>
      <c r="E245" s="579"/>
      <c r="F245" s="579"/>
      <c r="G245" s="579"/>
      <c r="H245" s="579"/>
      <c r="I245" s="579"/>
      <c r="J245" s="579"/>
      <c r="K245" s="579"/>
      <c r="L245" s="579"/>
      <c r="M245" s="579"/>
      <c r="N245" s="579"/>
    </row>
    <row r="247" spans="2:14" x14ac:dyDescent="0.3">
      <c r="B247" t="s">
        <v>837</v>
      </c>
    </row>
  </sheetData>
  <mergeCells count="10">
    <mergeCell ref="B28:C36"/>
    <mergeCell ref="E28:F36"/>
    <mergeCell ref="H28:I36"/>
    <mergeCell ref="K28:L36"/>
    <mergeCell ref="J1:P1"/>
    <mergeCell ref="B7:C15"/>
    <mergeCell ref="I7:J15"/>
    <mergeCell ref="E26:F26"/>
    <mergeCell ref="H26:I26"/>
    <mergeCell ref="K26:L26"/>
  </mergeCells>
  <phoneticPr fontId="80"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I90"/>
  <sheetViews>
    <sheetView topLeftCell="B5" workbookViewId="0">
      <selection activeCell="H68" sqref="H68"/>
    </sheetView>
  </sheetViews>
  <sheetFormatPr baseColWidth="10" defaultRowHeight="14.4" x14ac:dyDescent="0.3"/>
  <cols>
    <col min="1" max="1" width="4" hidden="1" customWidth="1"/>
    <col min="2" max="2" width="29" customWidth="1"/>
    <col min="3" max="3" width="19" customWidth="1"/>
    <col min="4" max="4" width="19" style="293" customWidth="1"/>
    <col min="5" max="5" width="19" style="30" customWidth="1"/>
    <col min="6" max="6" width="19" style="36" customWidth="1"/>
  </cols>
  <sheetData>
    <row r="1" spans="1:6" ht="48" customHeight="1" x14ac:dyDescent="0.3">
      <c r="B1" s="932" t="s">
        <v>68</v>
      </c>
      <c r="C1" s="933"/>
      <c r="D1" s="28" t="s">
        <v>69</v>
      </c>
      <c r="E1" s="272" t="s">
        <v>70</v>
      </c>
    </row>
    <row r="2" spans="1:6" ht="19.5" customHeight="1" x14ac:dyDescent="0.3">
      <c r="B2" s="934" t="s">
        <v>269</v>
      </c>
      <c r="C2" s="935"/>
      <c r="D2" s="28"/>
      <c r="E2" s="272"/>
    </row>
    <row r="3" spans="1:6" s="58" customFormat="1" ht="19.5" customHeight="1" x14ac:dyDescent="0.25">
      <c r="A3" s="203" t="s">
        <v>81</v>
      </c>
      <c r="B3" s="936" t="s">
        <v>278</v>
      </c>
      <c r="C3" s="937"/>
      <c r="D3" s="205"/>
      <c r="E3" s="205">
        <v>7.0000000000000007E-2</v>
      </c>
      <c r="F3" s="206"/>
    </row>
    <row r="4" spans="1:6" s="58" customFormat="1" ht="19.5" customHeight="1" x14ac:dyDescent="0.25">
      <c r="A4" s="203" t="s">
        <v>81</v>
      </c>
      <c r="B4" s="927" t="s">
        <v>205</v>
      </c>
      <c r="C4" s="928"/>
      <c r="D4" s="205"/>
      <c r="E4" s="205">
        <v>0.06</v>
      </c>
      <c r="F4" s="65"/>
    </row>
    <row r="5" spans="1:6" s="58" customFormat="1" ht="19.5" customHeight="1" x14ac:dyDescent="0.25">
      <c r="A5" s="203" t="s">
        <v>81</v>
      </c>
      <c r="B5" s="927" t="s">
        <v>201</v>
      </c>
      <c r="C5" s="928"/>
      <c r="D5" s="388"/>
      <c r="E5" s="388"/>
      <c r="F5" s="926"/>
    </row>
    <row r="6" spans="1:6" s="58" customFormat="1" ht="19.5" customHeight="1" x14ac:dyDescent="0.25">
      <c r="A6" s="203" t="s">
        <v>81</v>
      </c>
      <c r="B6" s="927" t="s">
        <v>255</v>
      </c>
      <c r="C6" s="928"/>
      <c r="D6" s="205"/>
      <c r="E6" s="205"/>
      <c r="F6" s="926"/>
    </row>
    <row r="7" spans="1:6" s="58" customFormat="1" ht="19.5" customHeight="1" x14ac:dyDescent="0.25">
      <c r="B7" s="911"/>
      <c r="C7" s="912"/>
      <c r="D7" s="912"/>
      <c r="E7" s="913"/>
      <c r="F7" s="273"/>
    </row>
    <row r="8" spans="1:6" s="58" customFormat="1" ht="19.5" customHeight="1" x14ac:dyDescent="0.25">
      <c r="B8" s="903" t="s">
        <v>37</v>
      </c>
      <c r="C8" s="904"/>
      <c r="D8" s="274"/>
      <c r="E8" s="275"/>
    </row>
    <row r="9" spans="1:6" s="58" customFormat="1" ht="19.5" customHeight="1" x14ac:dyDescent="0.25">
      <c r="B9" s="901" t="s">
        <v>270</v>
      </c>
      <c r="C9" s="902"/>
      <c r="D9" s="31"/>
      <c r="E9" s="31"/>
    </row>
    <row r="10" spans="1:6" s="58" customFormat="1" ht="19.5" customHeight="1" x14ac:dyDescent="0.25">
      <c r="B10" s="750" t="s">
        <v>256</v>
      </c>
      <c r="C10" s="751"/>
      <c r="D10" s="32"/>
      <c r="E10" s="204">
        <v>3.4500000000000003E-2</v>
      </c>
    </row>
    <row r="11" spans="1:6" s="58" customFormat="1" ht="19.5" customHeight="1" x14ac:dyDescent="0.25">
      <c r="B11" s="799" t="s">
        <v>257</v>
      </c>
      <c r="C11" s="754"/>
      <c r="D11" s="32"/>
      <c r="E11" s="208">
        <v>1.7999999999999999E-2</v>
      </c>
    </row>
    <row r="12" spans="1:6" s="58" customFormat="1" ht="19.5" customHeight="1" x14ac:dyDescent="0.25">
      <c r="B12" s="907" t="s">
        <v>271</v>
      </c>
      <c r="C12" s="908"/>
      <c r="D12" s="276"/>
      <c r="E12" s="207"/>
    </row>
    <row r="13" spans="1:6" s="58" customFormat="1" ht="19.5" customHeight="1" x14ac:dyDescent="0.25">
      <c r="B13" s="921" t="s">
        <v>209</v>
      </c>
      <c r="C13" s="922"/>
      <c r="D13" s="209"/>
      <c r="E13" s="209">
        <v>4.0500000000000001E-2</v>
      </c>
    </row>
    <row r="14" spans="1:6" s="58" customFormat="1" ht="19.5" customHeight="1" x14ac:dyDescent="0.25">
      <c r="B14" s="921" t="s">
        <v>225</v>
      </c>
      <c r="C14" s="922"/>
      <c r="D14" s="209"/>
      <c r="E14" s="209">
        <v>2.5000000000000001E-3</v>
      </c>
    </row>
    <row r="15" spans="1:6" s="58" customFormat="1" ht="19.5" customHeight="1" x14ac:dyDescent="0.25">
      <c r="B15" s="929" t="s">
        <v>284</v>
      </c>
      <c r="C15" s="899"/>
      <c r="D15" s="277">
        <v>2.4000000000000001E-4</v>
      </c>
      <c r="E15" s="278">
        <v>3.6000000000000002E-4</v>
      </c>
    </row>
    <row r="16" spans="1:6" s="58" customFormat="1" ht="19.5" customHeight="1" x14ac:dyDescent="0.25">
      <c r="B16" s="930" t="s">
        <v>38</v>
      </c>
      <c r="C16" s="931"/>
      <c r="D16" s="931"/>
      <c r="E16" s="931"/>
    </row>
    <row r="17" spans="1:6" s="58" customFormat="1" ht="19.5" customHeight="1" x14ac:dyDescent="0.25">
      <c r="B17" s="893" t="s">
        <v>39</v>
      </c>
      <c r="C17" s="894"/>
      <c r="D17" s="204">
        <v>6.9000000000000006E-2</v>
      </c>
      <c r="E17" s="204">
        <v>8.5500000000000007E-2</v>
      </c>
    </row>
    <row r="18" spans="1:6" s="58" customFormat="1" ht="19.5" customHeight="1" x14ac:dyDescent="0.25">
      <c r="B18" s="893" t="s">
        <v>40</v>
      </c>
      <c r="C18" s="894"/>
      <c r="D18" s="204">
        <v>4.0000000000000001E-3</v>
      </c>
      <c r="E18" s="517">
        <v>2.0199999999999999E-2</v>
      </c>
    </row>
    <row r="19" spans="1:6" s="58" customFormat="1" ht="19.5" customHeight="1" x14ac:dyDescent="0.25">
      <c r="B19" s="893" t="s">
        <v>41</v>
      </c>
      <c r="C19" s="894"/>
      <c r="D19" s="204">
        <v>3.15E-2</v>
      </c>
      <c r="E19" s="204">
        <v>4.7199999999999999E-2</v>
      </c>
    </row>
    <row r="20" spans="1:6" s="58" customFormat="1" ht="19.5" customHeight="1" x14ac:dyDescent="0.25">
      <c r="B20" s="893" t="s">
        <v>42</v>
      </c>
      <c r="C20" s="894"/>
      <c r="D20" s="204">
        <v>8.6400000000000005E-2</v>
      </c>
      <c r="E20" s="204">
        <v>0.1295</v>
      </c>
    </row>
    <row r="21" spans="1:6" s="58" customFormat="1" ht="19.5" customHeight="1" x14ac:dyDescent="0.25">
      <c r="B21" s="893" t="s">
        <v>74</v>
      </c>
      <c r="C21" s="894"/>
      <c r="D21" s="204">
        <v>8.6E-3</v>
      </c>
      <c r="E21" s="204">
        <v>1.29E-2</v>
      </c>
    </row>
    <row r="22" spans="1:6" s="58" customFormat="1" ht="19.5" customHeight="1" x14ac:dyDescent="0.25">
      <c r="B22" s="893" t="s">
        <v>75</v>
      </c>
      <c r="C22" s="894"/>
      <c r="D22" s="204">
        <v>1.0800000000000001E-2</v>
      </c>
      <c r="E22" s="204">
        <v>1.6199999999999999E-2</v>
      </c>
    </row>
    <row r="23" spans="1:6" s="58" customFormat="1" ht="19.5" customHeight="1" x14ac:dyDescent="0.25">
      <c r="B23" s="893" t="s">
        <v>76</v>
      </c>
      <c r="C23" s="894"/>
      <c r="D23" s="204">
        <v>1.4E-3</v>
      </c>
      <c r="E23" s="204">
        <v>2.0999999999999999E-3</v>
      </c>
    </row>
    <row r="24" spans="1:6" s="58" customFormat="1" ht="19.5" customHeight="1" x14ac:dyDescent="0.25">
      <c r="B24" s="893" t="s">
        <v>77</v>
      </c>
      <c r="C24" s="894"/>
      <c r="D24" s="204">
        <v>1.4E-3</v>
      </c>
      <c r="E24" s="204">
        <v>2.0999999999999999E-3</v>
      </c>
    </row>
    <row r="25" spans="1:6" s="58" customFormat="1" ht="19.5" customHeight="1" x14ac:dyDescent="0.25">
      <c r="B25" s="224"/>
      <c r="C25" s="225"/>
      <c r="D25" s="276"/>
      <c r="E25" s="207"/>
      <c r="F25" s="273"/>
    </row>
    <row r="26" spans="1:6" s="58" customFormat="1" ht="19.5" customHeight="1" x14ac:dyDescent="0.25">
      <c r="B26" s="893" t="s">
        <v>210</v>
      </c>
      <c r="C26" s="894"/>
      <c r="D26" s="32"/>
      <c r="E26" s="204">
        <v>1E-3</v>
      </c>
      <c r="F26" s="273"/>
    </row>
    <row r="27" spans="1:6" s="58" customFormat="1" ht="19.5" customHeight="1" x14ac:dyDescent="0.25">
      <c r="B27" s="909" t="s">
        <v>211</v>
      </c>
      <c r="C27" s="910"/>
      <c r="D27" s="32"/>
      <c r="E27" s="204">
        <v>5.0000000000000001E-3</v>
      </c>
      <c r="F27" s="273"/>
    </row>
    <row r="28" spans="1:6" s="58" customFormat="1" ht="19.5" customHeight="1" x14ac:dyDescent="0.25">
      <c r="B28" s="909" t="s">
        <v>184</v>
      </c>
      <c r="C28" s="910"/>
      <c r="D28" s="32"/>
      <c r="E28" s="204">
        <v>3.2000000000000001E-2</v>
      </c>
      <c r="F28" s="273" t="s">
        <v>508</v>
      </c>
    </row>
    <row r="29" spans="1:6" s="58" customFormat="1" ht="19.5" customHeight="1" x14ac:dyDescent="0.25">
      <c r="B29" s="893" t="s">
        <v>72</v>
      </c>
      <c r="C29" s="894"/>
      <c r="D29" s="32"/>
      <c r="E29" s="204">
        <v>3.0000000000000001E-3</v>
      </c>
      <c r="F29" s="273"/>
    </row>
    <row r="30" spans="1:6" s="58" customFormat="1" ht="19.5" customHeight="1" x14ac:dyDescent="0.25">
      <c r="B30" s="893" t="s">
        <v>46</v>
      </c>
      <c r="C30" s="894"/>
      <c r="D30" s="32"/>
      <c r="E30" s="204">
        <v>0.08</v>
      </c>
      <c r="F30" s="273"/>
    </row>
    <row r="31" spans="1:6" s="58" customFormat="1" ht="19.5" customHeight="1" x14ac:dyDescent="0.25">
      <c r="B31" s="220" t="s">
        <v>227</v>
      </c>
      <c r="C31" s="220"/>
      <c r="D31" s="32"/>
      <c r="E31" s="204">
        <v>0.2</v>
      </c>
      <c r="F31" s="273"/>
    </row>
    <row r="32" spans="1:6" s="58" customFormat="1" ht="15.6" x14ac:dyDescent="0.25">
      <c r="A32" s="203" t="s">
        <v>82</v>
      </c>
      <c r="B32" s="893" t="s">
        <v>73</v>
      </c>
      <c r="C32" s="894"/>
      <c r="D32" s="32"/>
      <c r="E32" s="209">
        <v>1.6000000000000001E-4</v>
      </c>
      <c r="F32" s="206"/>
    </row>
    <row r="33" spans="1:6" s="58" customFormat="1" ht="15.6" x14ac:dyDescent="0.25">
      <c r="A33" s="203" t="s">
        <v>82</v>
      </c>
      <c r="B33" s="893" t="s">
        <v>78</v>
      </c>
      <c r="C33" s="894"/>
      <c r="D33" s="29"/>
      <c r="E33" s="204">
        <v>6.7999999999999996E-3</v>
      </c>
      <c r="F33" s="206"/>
    </row>
    <row r="34" spans="1:6" s="58" customFormat="1" ht="15" customHeight="1" x14ac:dyDescent="0.25">
      <c r="A34" s="203" t="s">
        <v>82</v>
      </c>
      <c r="B34" s="893" t="s">
        <v>212</v>
      </c>
      <c r="C34" s="894"/>
      <c r="D34" s="29"/>
      <c r="E34" s="204">
        <v>0.01</v>
      </c>
      <c r="F34" s="210"/>
    </row>
    <row r="35" spans="1:6" s="58" customFormat="1" ht="15" customHeight="1" x14ac:dyDescent="0.25">
      <c r="A35" s="203" t="s">
        <v>82</v>
      </c>
      <c r="B35" s="893" t="s">
        <v>212</v>
      </c>
      <c r="C35" s="894"/>
      <c r="D35" s="29"/>
      <c r="E35" s="204">
        <v>5.4999999999999997E-3</v>
      </c>
      <c r="F35" s="210"/>
    </row>
    <row r="36" spans="1:6" s="58" customFormat="1" ht="15" customHeight="1" x14ac:dyDescent="0.25">
      <c r="A36" s="203" t="s">
        <v>82</v>
      </c>
      <c r="B36" s="893" t="s">
        <v>84</v>
      </c>
      <c r="C36" s="894"/>
      <c r="D36" s="29"/>
      <c r="E36" s="204">
        <v>4.4999999999999997E-3</v>
      </c>
      <c r="F36" s="211"/>
    </row>
    <row r="37" spans="1:6" s="58" customFormat="1" ht="15" customHeight="1" x14ac:dyDescent="0.25">
      <c r="A37" s="203" t="s">
        <v>82</v>
      </c>
      <c r="B37" s="916"/>
      <c r="C37" s="917"/>
      <c r="D37" s="276"/>
      <c r="E37" s="207"/>
      <c r="F37" s="211"/>
    </row>
    <row r="38" spans="1:6" s="58" customFormat="1" ht="15" customHeight="1" x14ac:dyDescent="0.25">
      <c r="A38" s="203" t="s">
        <v>82</v>
      </c>
      <c r="B38" s="905" t="s">
        <v>48</v>
      </c>
      <c r="C38" s="906"/>
      <c r="D38" s="279">
        <v>6.8000000000000005E-2</v>
      </c>
      <c r="E38" s="212"/>
      <c r="F38" s="511"/>
    </row>
    <row r="39" spans="1:6" s="58" customFormat="1" ht="15.75" customHeight="1" x14ac:dyDescent="0.25">
      <c r="A39" s="203" t="s">
        <v>82</v>
      </c>
      <c r="B39" s="900" t="s">
        <v>49</v>
      </c>
      <c r="C39" s="900"/>
      <c r="D39" s="279">
        <v>2.9000000000000001E-2</v>
      </c>
      <c r="E39" s="212"/>
      <c r="F39" s="206"/>
    </row>
    <row r="40" spans="1:6" s="58" customFormat="1" ht="15.75" customHeight="1" x14ac:dyDescent="0.25">
      <c r="B40" s="905" t="s">
        <v>50</v>
      </c>
      <c r="C40" s="906"/>
      <c r="D40" s="279">
        <v>6.8000000000000005E-2</v>
      </c>
      <c r="E40" s="212"/>
      <c r="F40" s="206"/>
    </row>
    <row r="41" spans="1:6" s="58" customFormat="1" ht="15" customHeight="1" x14ac:dyDescent="0.25">
      <c r="A41" s="58" t="s">
        <v>83</v>
      </c>
      <c r="B41" s="905" t="s">
        <v>51</v>
      </c>
      <c r="C41" s="906"/>
      <c r="D41" s="279">
        <v>6.8000000000000005E-2</v>
      </c>
      <c r="E41" s="212"/>
    </row>
    <row r="42" spans="1:6" s="58" customFormat="1" ht="15" customHeight="1" x14ac:dyDescent="0.25">
      <c r="A42" s="58" t="s">
        <v>83</v>
      </c>
      <c r="B42" s="905" t="s">
        <v>52</v>
      </c>
      <c r="C42" s="906"/>
      <c r="D42" s="279">
        <v>2.9000000000000001E-2</v>
      </c>
      <c r="E42" s="212"/>
    </row>
    <row r="43" spans="1:6" s="58" customFormat="1" ht="10.5" customHeight="1" x14ac:dyDescent="0.25">
      <c r="A43" s="58" t="s">
        <v>83</v>
      </c>
      <c r="B43" s="923"/>
      <c r="C43" s="924"/>
      <c r="D43" s="924"/>
      <c r="E43" s="925"/>
      <c r="F43" s="35"/>
    </row>
    <row r="44" spans="1:6" s="58" customFormat="1" ht="15" customHeight="1" x14ac:dyDescent="0.25">
      <c r="A44" s="58" t="s">
        <v>83</v>
      </c>
      <c r="B44" s="897" t="s">
        <v>272</v>
      </c>
      <c r="C44" s="898"/>
      <c r="D44" s="280"/>
      <c r="E44" s="281"/>
      <c r="F44" s="206"/>
    </row>
    <row r="45" spans="1:6" s="58" customFormat="1" ht="15" customHeight="1" x14ac:dyDescent="0.25">
      <c r="A45" s="58" t="s">
        <v>83</v>
      </c>
      <c r="B45" s="899" t="s">
        <v>260</v>
      </c>
      <c r="C45" s="900"/>
      <c r="D45" s="279"/>
      <c r="E45" s="279"/>
      <c r="F45" s="186"/>
    </row>
    <row r="46" spans="1:6" s="58" customFormat="1" ht="15" customHeight="1" x14ac:dyDescent="0.25">
      <c r="B46" s="899" t="s">
        <v>259</v>
      </c>
      <c r="C46" s="900"/>
      <c r="D46" s="279"/>
      <c r="E46" s="279"/>
      <c r="F46" s="186"/>
    </row>
    <row r="47" spans="1:6" s="58" customFormat="1" ht="15" customHeight="1" x14ac:dyDescent="0.25">
      <c r="B47" s="731" t="s">
        <v>206</v>
      </c>
      <c r="C47" s="731"/>
      <c r="D47" s="279"/>
      <c r="E47" s="279">
        <v>1.4999999999999999E-2</v>
      </c>
      <c r="F47" s="186"/>
    </row>
    <row r="48" spans="1:6" s="58" customFormat="1" ht="15" customHeight="1" x14ac:dyDescent="0.25">
      <c r="A48" s="58" t="s">
        <v>83</v>
      </c>
      <c r="B48" s="905" t="s">
        <v>207</v>
      </c>
      <c r="C48" s="906"/>
      <c r="D48" s="280"/>
      <c r="E48" s="282"/>
      <c r="F48" s="206"/>
    </row>
    <row r="49" spans="1:7" s="58" customFormat="1" ht="15" customHeight="1" x14ac:dyDescent="0.25">
      <c r="A49" s="58" t="s">
        <v>83</v>
      </c>
      <c r="B49" s="905" t="s">
        <v>208</v>
      </c>
      <c r="C49" s="906"/>
      <c r="D49" s="280"/>
      <c r="E49" s="282"/>
      <c r="F49" s="206"/>
    </row>
    <row r="50" spans="1:7" s="58" customFormat="1" ht="8.25" customHeight="1" x14ac:dyDescent="0.25">
      <c r="A50" s="58" t="s">
        <v>83</v>
      </c>
      <c r="B50" s="911"/>
      <c r="C50" s="912"/>
      <c r="D50" s="912"/>
      <c r="E50" s="913"/>
      <c r="F50" s="206"/>
    </row>
    <row r="51" spans="1:7" s="58" customFormat="1" ht="15" customHeight="1" x14ac:dyDescent="0.25">
      <c r="A51" s="58" t="s">
        <v>83</v>
      </c>
      <c r="B51" s="914" t="s">
        <v>514</v>
      </c>
      <c r="C51" s="915"/>
      <c r="D51" s="518">
        <v>3925</v>
      </c>
      <c r="E51" s="283"/>
      <c r="F51" s="206"/>
    </row>
    <row r="52" spans="1:7" s="58" customFormat="1" ht="13.8" x14ac:dyDescent="0.25">
      <c r="B52" s="914" t="s">
        <v>515</v>
      </c>
      <c r="C52" s="915"/>
      <c r="D52" s="215">
        <v>11.65</v>
      </c>
      <c r="E52" s="213"/>
      <c r="F52" s="206"/>
    </row>
    <row r="53" spans="1:7" s="58" customFormat="1" ht="13.8" x14ac:dyDescent="0.25">
      <c r="B53" s="914" t="s">
        <v>516</v>
      </c>
      <c r="C53" s="915"/>
      <c r="D53" s="215">
        <v>11.88</v>
      </c>
      <c r="E53" s="213"/>
      <c r="F53" s="206"/>
    </row>
    <row r="54" spans="1:7" s="58" customFormat="1" ht="13.8" x14ac:dyDescent="0.25">
      <c r="B54" s="513" t="s">
        <v>517</v>
      </c>
      <c r="C54" s="514"/>
      <c r="D54" s="518">
        <v>11.88</v>
      </c>
      <c r="E54" s="213"/>
      <c r="F54" s="206"/>
    </row>
    <row r="55" spans="1:7" s="58" customFormat="1" ht="13.8" x14ac:dyDescent="0.25">
      <c r="B55" s="914" t="s">
        <v>518</v>
      </c>
      <c r="C55" s="915"/>
      <c r="D55" s="284"/>
      <c r="E55" s="213"/>
      <c r="F55" s="206"/>
    </row>
    <row r="56" spans="1:7" s="58" customFormat="1" ht="13.8" x14ac:dyDescent="0.25">
      <c r="B56" s="914" t="s">
        <v>518</v>
      </c>
      <c r="C56" s="915"/>
      <c r="D56" s="284"/>
      <c r="E56" s="213"/>
      <c r="F56" s="206"/>
    </row>
    <row r="57" spans="1:7" s="58" customFormat="1" ht="13.8" x14ac:dyDescent="0.25">
      <c r="B57" s="513" t="s">
        <v>519</v>
      </c>
      <c r="C57" s="514"/>
      <c r="D57" s="284">
        <f>D54*35*52/12</f>
        <v>1801.8000000000002</v>
      </c>
      <c r="E57" s="213"/>
      <c r="F57" s="206"/>
    </row>
    <row r="58" spans="1:7" s="58" customFormat="1" ht="13.8" x14ac:dyDescent="0.25">
      <c r="B58" s="914" t="s">
        <v>520</v>
      </c>
      <c r="C58" s="915"/>
      <c r="D58" s="215">
        <f>1.6*D54*35*52/12</f>
        <v>2882.8800000000006</v>
      </c>
      <c r="E58" s="213"/>
      <c r="F58" s="206"/>
    </row>
    <row r="59" spans="1:7" s="58" customFormat="1" ht="13.8" x14ac:dyDescent="0.25">
      <c r="B59" s="905" t="s">
        <v>521</v>
      </c>
      <c r="C59" s="906"/>
      <c r="D59" s="519">
        <f>2.25*D54*35*52/12</f>
        <v>4054.0500000000006</v>
      </c>
      <c r="E59" s="205"/>
      <c r="F59" s="206" t="s">
        <v>509</v>
      </c>
      <c r="G59" s="520">
        <f>ROUND(2.25*D54*151.67,2)</f>
        <v>4054.14</v>
      </c>
    </row>
    <row r="60" spans="1:7" s="58" customFormat="1" ht="13.8" x14ac:dyDescent="0.25">
      <c r="B60" s="905" t="s">
        <v>522</v>
      </c>
      <c r="C60" s="906"/>
      <c r="D60" s="519">
        <f>3.3*D54*35*52/12</f>
        <v>5945.94</v>
      </c>
      <c r="E60" s="205"/>
      <c r="F60" s="206"/>
      <c r="G60" s="520">
        <f>ROUND(3.3*D54*151.67,2)</f>
        <v>5946.07</v>
      </c>
    </row>
    <row r="61" spans="1:7" s="58" customFormat="1" ht="31.5" customHeight="1" x14ac:dyDescent="0.25">
      <c r="B61" s="921" t="s">
        <v>523</v>
      </c>
      <c r="C61" s="922"/>
      <c r="D61" s="521">
        <v>0.31940000000000002</v>
      </c>
      <c r="E61" s="522">
        <v>0.32340000000000002</v>
      </c>
    </row>
    <row r="62" spans="1:7" s="58" customFormat="1" ht="15" customHeight="1" x14ac:dyDescent="0.25">
      <c r="A62" s="918" t="s">
        <v>510</v>
      </c>
      <c r="B62" s="919"/>
      <c r="C62" s="919"/>
      <c r="D62" s="919"/>
      <c r="E62" s="920"/>
      <c r="F62" s="223"/>
    </row>
    <row r="63" spans="1:7" s="58" customFormat="1" ht="23.25" customHeight="1" x14ac:dyDescent="0.25">
      <c r="B63" s="921" t="s">
        <v>223</v>
      </c>
      <c r="C63" s="922"/>
      <c r="D63" s="285"/>
      <c r="E63" s="286" t="s">
        <v>80</v>
      </c>
      <c r="F63" s="214"/>
    </row>
    <row r="64" spans="1:7" s="58" customFormat="1" ht="17.25" customHeight="1" x14ac:dyDescent="0.25">
      <c r="B64" s="921" t="s">
        <v>221</v>
      </c>
      <c r="C64" s="922"/>
      <c r="D64" s="285"/>
      <c r="E64" s="286" t="s">
        <v>222</v>
      </c>
      <c r="F64" s="214"/>
    </row>
    <row r="65" spans="1:6" s="58" customFormat="1" ht="18" customHeight="1" x14ac:dyDescent="0.25">
      <c r="B65" s="893" t="s">
        <v>213</v>
      </c>
      <c r="C65" s="894"/>
      <c r="D65" s="523">
        <v>7.26</v>
      </c>
      <c r="E65" s="287"/>
      <c r="F65" s="219"/>
    </row>
    <row r="66" spans="1:6" s="58" customFormat="1" ht="15" customHeight="1" x14ac:dyDescent="0.25">
      <c r="B66" s="893" t="s">
        <v>224</v>
      </c>
      <c r="C66" s="894"/>
      <c r="D66" s="523">
        <v>88.8</v>
      </c>
      <c r="E66" s="287"/>
      <c r="F66" s="219"/>
    </row>
    <row r="67" spans="1:6" s="58" customFormat="1" ht="35.25" customHeight="1" x14ac:dyDescent="0.25">
      <c r="B67" s="216"/>
      <c r="D67" s="288"/>
      <c r="E67" s="217"/>
      <c r="F67" s="206"/>
    </row>
    <row r="68" spans="1:6" s="58" customFormat="1" ht="18.75" customHeight="1" x14ac:dyDescent="0.25">
      <c r="B68" s="218"/>
      <c r="C68" s="895" t="s">
        <v>279</v>
      </c>
      <c r="D68" s="895"/>
      <c r="E68" s="896" t="s">
        <v>280</v>
      </c>
      <c r="F68" s="896"/>
    </row>
    <row r="69" spans="1:6" s="58" customFormat="1" ht="18.75" customHeight="1" x14ac:dyDescent="0.25">
      <c r="B69" s="218"/>
      <c r="C69" s="294" t="s">
        <v>273</v>
      </c>
      <c r="D69" s="294" t="s">
        <v>88</v>
      </c>
      <c r="E69" s="294" t="s">
        <v>273</v>
      </c>
      <c r="F69" s="294" t="s">
        <v>88</v>
      </c>
    </row>
    <row r="70" spans="1:6" s="58" customFormat="1" ht="18.75" customHeight="1" x14ac:dyDescent="0.25">
      <c r="B70" s="303" t="s">
        <v>41</v>
      </c>
      <c r="C70" s="295">
        <v>3.15E-2</v>
      </c>
      <c r="D70" s="296">
        <v>4.7199999999999999E-2</v>
      </c>
      <c r="E70" s="295">
        <v>3.15E-2</v>
      </c>
      <c r="F70" s="296">
        <v>4.7199999999999999E-2</v>
      </c>
    </row>
    <row r="71" spans="1:6" s="58" customFormat="1" ht="18.75" customHeight="1" x14ac:dyDescent="0.25">
      <c r="B71" s="303" t="s">
        <v>274</v>
      </c>
      <c r="C71" s="295">
        <v>8.6E-3</v>
      </c>
      <c r="D71" s="295">
        <v>1.29E-2</v>
      </c>
      <c r="E71" s="295">
        <v>8.6E-3</v>
      </c>
      <c r="F71" s="295">
        <v>1.29E-2</v>
      </c>
    </row>
    <row r="72" spans="1:6" s="58" customFormat="1" ht="18.75" customHeight="1" x14ac:dyDescent="0.25">
      <c r="B72" s="303" t="s">
        <v>276</v>
      </c>
      <c r="C72" s="38"/>
      <c r="D72" s="302"/>
      <c r="E72" s="295">
        <v>1.4E-3</v>
      </c>
      <c r="F72" s="295">
        <v>2.0999999999999999E-3</v>
      </c>
    </row>
    <row r="73" spans="1:6" s="58" customFormat="1" ht="35.25" customHeight="1" x14ac:dyDescent="0.25">
      <c r="B73" s="298" t="s">
        <v>281</v>
      </c>
      <c r="C73" s="299">
        <f>+C70+C71</f>
        <v>4.0099999999999997E-2</v>
      </c>
      <c r="D73" s="299">
        <f>+D70+D71</f>
        <v>6.0100000000000001E-2</v>
      </c>
      <c r="E73" s="299">
        <f>SUM(E70:E72)</f>
        <v>4.1499999999999995E-2</v>
      </c>
      <c r="F73" s="299">
        <f>SUM(F70:F72)</f>
        <v>6.2199999999999998E-2</v>
      </c>
    </row>
    <row r="74" spans="1:6" s="58" customFormat="1" ht="27" customHeight="1" x14ac:dyDescent="0.25">
      <c r="B74" s="300"/>
      <c r="C74" s="301"/>
      <c r="D74" s="301"/>
      <c r="E74" s="301"/>
      <c r="F74" s="301"/>
    </row>
    <row r="75" spans="1:6" s="58" customFormat="1" ht="18.75" customHeight="1" x14ac:dyDescent="0.25">
      <c r="B75" s="218"/>
      <c r="C75" s="218"/>
      <c r="D75" s="297"/>
      <c r="E75" s="294" t="s">
        <v>87</v>
      </c>
      <c r="F75" s="298" t="s">
        <v>88</v>
      </c>
    </row>
    <row r="76" spans="1:6" s="58" customFormat="1" ht="18.75" customHeight="1" x14ac:dyDescent="0.25">
      <c r="B76" s="303" t="s">
        <v>42</v>
      </c>
      <c r="C76" s="218"/>
      <c r="D76" s="297"/>
      <c r="E76" s="295">
        <v>8.6400000000000005E-2</v>
      </c>
      <c r="F76" s="295">
        <v>0.1295</v>
      </c>
    </row>
    <row r="77" spans="1:6" s="58" customFormat="1" ht="18.75" customHeight="1" x14ac:dyDescent="0.25">
      <c r="B77" s="303" t="s">
        <v>275</v>
      </c>
      <c r="C77" s="218"/>
      <c r="D77" s="297"/>
      <c r="E77" s="295">
        <v>1.0800000000000001E-2</v>
      </c>
      <c r="F77" s="295">
        <v>1.6199999999999999E-2</v>
      </c>
    </row>
    <row r="78" spans="1:6" s="58" customFormat="1" ht="18.75" customHeight="1" x14ac:dyDescent="0.25">
      <c r="B78" s="303" t="s">
        <v>277</v>
      </c>
      <c r="C78" s="218"/>
      <c r="D78" s="297"/>
      <c r="E78" s="295">
        <v>1.4E-3</v>
      </c>
      <c r="F78" s="295">
        <v>2.0999999999999999E-3</v>
      </c>
    </row>
    <row r="79" spans="1:6" s="58" customFormat="1" ht="33" customHeight="1" x14ac:dyDescent="0.25">
      <c r="B79" s="298" t="s">
        <v>282</v>
      </c>
      <c r="C79" s="218"/>
      <c r="D79" s="297"/>
      <c r="E79" s="299">
        <f>SUM(E76:E78)</f>
        <v>9.8600000000000007E-2</v>
      </c>
      <c r="F79" s="299">
        <f>SUM(F76:F78)</f>
        <v>0.14779999999999999</v>
      </c>
    </row>
    <row r="80" spans="1:6" s="58" customFormat="1" ht="35.25" customHeight="1" x14ac:dyDescent="0.3">
      <c r="A80" s="187"/>
      <c r="B80" s="187"/>
      <c r="D80" s="289"/>
      <c r="E80" s="290"/>
      <c r="F80" s="187"/>
    </row>
    <row r="81" spans="2:9" s="58" customFormat="1" ht="35.25" customHeight="1" x14ac:dyDescent="0.25">
      <c r="D81" s="291"/>
      <c r="E81" s="217"/>
      <c r="F81" s="206"/>
    </row>
    <row r="82" spans="2:9" s="58" customFormat="1" ht="35.25" customHeight="1" x14ac:dyDescent="0.25">
      <c r="B82" s="861" t="s">
        <v>524</v>
      </c>
      <c r="C82" s="862"/>
      <c r="D82" s="862"/>
      <c r="E82" s="863"/>
      <c r="F82" s="206"/>
    </row>
    <row r="83" spans="2:9" s="58" customFormat="1" ht="42" customHeight="1" x14ac:dyDescent="0.25">
      <c r="B83" s="864" t="s">
        <v>214</v>
      </c>
      <c r="C83" s="866"/>
      <c r="D83" s="77" t="s">
        <v>525</v>
      </c>
      <c r="E83" s="77" t="s">
        <v>511</v>
      </c>
      <c r="F83" s="206"/>
    </row>
    <row r="84" spans="2:9" s="58" customFormat="1" ht="35.25" customHeight="1" x14ac:dyDescent="0.25">
      <c r="B84" s="861" t="s">
        <v>215</v>
      </c>
      <c r="C84" s="863"/>
      <c r="D84" s="292" t="s">
        <v>216</v>
      </c>
      <c r="E84" s="524">
        <v>3.2000000000000001E-2</v>
      </c>
      <c r="F84" s="206"/>
      <c r="I84" s="58">
        <f>50%*2522.52*3/91.25</f>
        <v>41.466082191780821</v>
      </c>
    </row>
    <row r="85" spans="2:9" s="58" customFormat="1" ht="35.25" customHeight="1" x14ac:dyDescent="0.25">
      <c r="B85" s="861" t="s">
        <v>217</v>
      </c>
      <c r="C85" s="863"/>
      <c r="D85" s="292" t="s">
        <v>216</v>
      </c>
      <c r="E85" s="524">
        <v>3.2000000000000001E-2</v>
      </c>
      <c r="F85" s="206"/>
    </row>
    <row r="86" spans="2:9" ht="47.25" customHeight="1" x14ac:dyDescent="0.3">
      <c r="B86" s="867" t="s">
        <v>218</v>
      </c>
      <c r="C86" s="867"/>
      <c r="D86" s="292" t="s">
        <v>512</v>
      </c>
      <c r="E86" s="292" t="s">
        <v>512</v>
      </c>
    </row>
    <row r="87" spans="2:9" ht="35.25" customHeight="1" x14ac:dyDescent="0.3">
      <c r="B87" s="892"/>
      <c r="C87" s="892"/>
      <c r="D87" s="525"/>
    </row>
    <row r="88" spans="2:9" ht="35.25" customHeight="1" x14ac:dyDescent="0.3">
      <c r="B88" t="s">
        <v>219</v>
      </c>
    </row>
    <row r="89" spans="2:9" ht="35.25" customHeight="1" x14ac:dyDescent="0.3">
      <c r="B89" s="58" t="s">
        <v>220</v>
      </c>
    </row>
    <row r="90" spans="2:9" ht="35.25" customHeight="1" x14ac:dyDescent="0.3">
      <c r="C90" s="58"/>
      <c r="D90" s="288"/>
    </row>
  </sheetData>
  <mergeCells count="71">
    <mergeCell ref="B1:C1"/>
    <mergeCell ref="B2:C2"/>
    <mergeCell ref="B3:C3"/>
    <mergeCell ref="B4:C4"/>
    <mergeCell ref="B5:C5"/>
    <mergeCell ref="B43:E43"/>
    <mergeCell ref="B18:C18"/>
    <mergeCell ref="B19:C19"/>
    <mergeCell ref="B20:C20"/>
    <mergeCell ref="F5:F6"/>
    <mergeCell ref="B6:C6"/>
    <mergeCell ref="B7:E7"/>
    <mergeCell ref="B13:C13"/>
    <mergeCell ref="B14:C14"/>
    <mergeCell ref="B15:C15"/>
    <mergeCell ref="B16:E16"/>
    <mergeCell ref="B17:C17"/>
    <mergeCell ref="B42:C42"/>
    <mergeCell ref="B21:C21"/>
    <mergeCell ref="B22:C22"/>
    <mergeCell ref="B23:C23"/>
    <mergeCell ref="B24:C24"/>
    <mergeCell ref="B33:C33"/>
    <mergeCell ref="B34:C34"/>
    <mergeCell ref="B35:C35"/>
    <mergeCell ref="B36:C36"/>
    <mergeCell ref="B37:C37"/>
    <mergeCell ref="B32:C32"/>
    <mergeCell ref="A62:E62"/>
    <mergeCell ref="B85:C85"/>
    <mergeCell ref="B86:C86"/>
    <mergeCell ref="B83:C83"/>
    <mergeCell ref="B84:C84"/>
    <mergeCell ref="B64:C64"/>
    <mergeCell ref="B63:C63"/>
    <mergeCell ref="B46:C46"/>
    <mergeCell ref="B55:C55"/>
    <mergeCell ref="B61:C61"/>
    <mergeCell ref="B53:C53"/>
    <mergeCell ref="B52:C52"/>
    <mergeCell ref="B51:C51"/>
    <mergeCell ref="B48:C48"/>
    <mergeCell ref="B49:C49"/>
    <mergeCell ref="B50:E50"/>
    <mergeCell ref="B47:C47"/>
    <mergeCell ref="B60:C60"/>
    <mergeCell ref="B56:C56"/>
    <mergeCell ref="B58:C58"/>
    <mergeCell ref="B59:C59"/>
    <mergeCell ref="B44:C44"/>
    <mergeCell ref="B45:C45"/>
    <mergeCell ref="B9:C9"/>
    <mergeCell ref="B8:C8"/>
    <mergeCell ref="B41:C41"/>
    <mergeCell ref="B40:C40"/>
    <mergeCell ref="B39:C39"/>
    <mergeCell ref="B12:C12"/>
    <mergeCell ref="B11:C11"/>
    <mergeCell ref="B10:C10"/>
    <mergeCell ref="B26:C26"/>
    <mergeCell ref="B27:C27"/>
    <mergeCell ref="B28:C28"/>
    <mergeCell ref="B29:C29"/>
    <mergeCell ref="B30:C30"/>
    <mergeCell ref="B38:C38"/>
    <mergeCell ref="B87:C87"/>
    <mergeCell ref="B65:C65"/>
    <mergeCell ref="B66:C66"/>
    <mergeCell ref="C68:D68"/>
    <mergeCell ref="E68:F68"/>
    <mergeCell ref="B82:E82"/>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11" sqref="C11"/>
    </sheetView>
  </sheetViews>
  <sheetFormatPr baseColWidth="10" defaultColWidth="11.44140625" defaultRowHeight="13.8" x14ac:dyDescent="0.25"/>
  <cols>
    <col min="1" max="1" width="11.44140625" style="58"/>
    <col min="2" max="2" width="24.44140625" style="58" customWidth="1"/>
    <col min="3" max="3" width="11.44140625" style="60"/>
    <col min="4" max="4" width="22.44140625" style="60" customWidth="1"/>
    <col min="5" max="5" width="11.44140625" style="58"/>
    <col min="6" max="6" width="15.109375" style="58" customWidth="1"/>
    <col min="7" max="7" width="23" style="58" customWidth="1"/>
    <col min="8" max="16384" width="11.44140625" style="58"/>
  </cols>
  <sheetData>
    <row r="2" spans="1:9" x14ac:dyDescent="0.25">
      <c r="A2" s="861" t="s">
        <v>730</v>
      </c>
      <c r="B2" s="862"/>
      <c r="C2" s="862"/>
      <c r="D2" s="862"/>
      <c r="E2" s="862"/>
      <c r="F2" s="862"/>
      <c r="G2" s="863"/>
    </row>
    <row r="3" spans="1:9" x14ac:dyDescent="0.25">
      <c r="A3" s="62"/>
      <c r="B3" s="62"/>
      <c r="C3" s="62"/>
      <c r="D3" s="62"/>
      <c r="E3" s="62"/>
      <c r="F3" s="62"/>
      <c r="G3" s="62"/>
    </row>
    <row r="6" spans="1:9" x14ac:dyDescent="0.25">
      <c r="A6" s="867" t="s">
        <v>731</v>
      </c>
      <c r="B6" s="867"/>
      <c r="C6" s="573">
        <f>+'TR Matrice Cotisations '!E5</f>
        <v>12</v>
      </c>
    </row>
    <row r="7" spans="1:9" x14ac:dyDescent="0.25">
      <c r="C7" s="37"/>
    </row>
    <row r="8" spans="1:9" x14ac:dyDescent="0.25">
      <c r="A8" s="867" t="s">
        <v>732</v>
      </c>
      <c r="B8" s="867"/>
      <c r="C8" s="574">
        <f>+'TR Matrice Cotisations '!E7</f>
        <v>6</v>
      </c>
    </row>
    <row r="9" spans="1:9" x14ac:dyDescent="0.25">
      <c r="C9" s="37"/>
    </row>
    <row r="10" spans="1:9" x14ac:dyDescent="0.25">
      <c r="A10" s="867" t="s">
        <v>733</v>
      </c>
      <c r="B10" s="867"/>
      <c r="C10" s="574">
        <f>+'TR Matrice Cotisations '!E9</f>
        <v>22</v>
      </c>
      <c r="D10" s="808"/>
      <c r="E10" s="809"/>
      <c r="F10" s="809"/>
      <c r="G10" s="809"/>
    </row>
    <row r="12" spans="1:9" x14ac:dyDescent="0.25">
      <c r="D12" s="945" t="s">
        <v>734</v>
      </c>
      <c r="E12" s="945"/>
      <c r="F12" s="945"/>
      <c r="G12" s="945"/>
    </row>
    <row r="14" spans="1:9" ht="22.8" x14ac:dyDescent="0.25">
      <c r="A14" s="867" t="s">
        <v>735</v>
      </c>
      <c r="B14" s="867"/>
      <c r="C14" s="566" t="str">
        <f>IF(C8&lt;=60%*C6,"Régle respectée","Régle non respectée")</f>
        <v>Régle respectée</v>
      </c>
      <c r="D14" s="567">
        <f>IF(C8-60%*C6&lt;0,0,C8)</f>
        <v>0</v>
      </c>
      <c r="E14" s="938" t="s">
        <v>736</v>
      </c>
      <c r="F14" s="942"/>
      <c r="G14" s="867" t="s">
        <v>737</v>
      </c>
    </row>
    <row r="15" spans="1:9" x14ac:dyDescent="0.25">
      <c r="C15" s="62"/>
      <c r="D15" s="37"/>
      <c r="G15" s="867"/>
      <c r="H15" s="867" t="s">
        <v>738</v>
      </c>
      <c r="I15" s="867"/>
    </row>
    <row r="16" spans="1:9" ht="22.8" x14ac:dyDescent="0.25">
      <c r="A16" s="938" t="s">
        <v>739</v>
      </c>
      <c r="B16" s="938"/>
      <c r="C16" s="566" t="str">
        <f>IF(C8&gt;=50%*C6,"Régle respectée","Régle non respectée ")</f>
        <v>Régle respectée</v>
      </c>
      <c r="D16" s="567">
        <f>IF(C16="Régle respectée",0,C8)</f>
        <v>0</v>
      </c>
      <c r="E16" s="938" t="s">
        <v>736</v>
      </c>
      <c r="F16" s="942"/>
      <c r="G16" s="867"/>
      <c r="H16" s="867">
        <f>MAX(D14,D16,D18)</f>
        <v>0</v>
      </c>
      <c r="I16" s="867"/>
    </row>
    <row r="17" spans="1:7" x14ac:dyDescent="0.25">
      <c r="C17" s="62"/>
      <c r="D17" s="37"/>
      <c r="G17" s="867"/>
    </row>
    <row r="18" spans="1:7" ht="26.4" x14ac:dyDescent="0.25">
      <c r="A18" s="943" t="s">
        <v>740</v>
      </c>
      <c r="B18" s="943"/>
      <c r="C18" s="568" t="str">
        <f>IF(C8&gt;7.26,"Régle non respectée","Régle respectée ")</f>
        <v xml:space="preserve">Régle respectée </v>
      </c>
      <c r="D18" s="569">
        <f>IF(C8&lt;=7.26,0,C8-7.26)</f>
        <v>0</v>
      </c>
      <c r="E18" s="943" t="s">
        <v>741</v>
      </c>
      <c r="F18" s="944"/>
      <c r="G18" s="867"/>
    </row>
    <row r="20" spans="1:7" hidden="1" x14ac:dyDescent="0.25"/>
    <row r="21" spans="1:7" x14ac:dyDescent="0.25">
      <c r="A21" s="867" t="s">
        <v>742</v>
      </c>
      <c r="B21" s="867"/>
      <c r="C21" s="37">
        <f>C6-C8</f>
        <v>6</v>
      </c>
    </row>
    <row r="23" spans="1:7" x14ac:dyDescent="0.25">
      <c r="A23" s="867" t="s">
        <v>743</v>
      </c>
      <c r="B23" s="867"/>
      <c r="C23" s="37">
        <f>C10</f>
        <v>22</v>
      </c>
    </row>
    <row r="25" spans="1:7" x14ac:dyDescent="0.25">
      <c r="A25" s="867" t="s">
        <v>744</v>
      </c>
      <c r="B25" s="867"/>
      <c r="C25" s="37">
        <f>C8*C23</f>
        <v>132</v>
      </c>
    </row>
    <row r="27" spans="1:7" x14ac:dyDescent="0.25">
      <c r="A27" s="867" t="s">
        <v>745</v>
      </c>
      <c r="B27" s="867"/>
      <c r="C27" s="37">
        <f>C21*C23</f>
        <v>132</v>
      </c>
    </row>
    <row r="29" spans="1:7" x14ac:dyDescent="0.25">
      <c r="A29" s="938" t="s">
        <v>746</v>
      </c>
      <c r="B29" s="938"/>
      <c r="C29" s="939">
        <f>MAX(D14,D16,D18)*C23</f>
        <v>0</v>
      </c>
    </row>
    <row r="30" spans="1:7" x14ac:dyDescent="0.25">
      <c r="A30" s="938"/>
      <c r="B30" s="938"/>
      <c r="C30" s="940"/>
    </row>
    <row r="31" spans="1:7" x14ac:dyDescent="0.25">
      <c r="A31" s="938"/>
      <c r="B31" s="938"/>
      <c r="C31" s="940"/>
    </row>
    <row r="32" spans="1:7" hidden="1" x14ac:dyDescent="0.25">
      <c r="A32" s="938"/>
      <c r="B32" s="938"/>
      <c r="C32" s="941"/>
    </row>
    <row r="34" spans="3:3" x14ac:dyDescent="0.25">
      <c r="C34" s="892"/>
    </row>
    <row r="35" spans="3:3" x14ac:dyDescent="0.25">
      <c r="C35" s="892"/>
    </row>
    <row r="36" spans="3:3" x14ac:dyDescent="0.25">
      <c r="C36" s="892"/>
    </row>
    <row r="37" spans="3:3" x14ac:dyDescent="0.25">
      <c r="C37" s="892"/>
    </row>
  </sheetData>
  <mergeCells count="22">
    <mergeCell ref="D12:G12"/>
    <mergeCell ref="A2:G2"/>
    <mergeCell ref="A6:B6"/>
    <mergeCell ref="A8:B8"/>
    <mergeCell ref="A10:B10"/>
    <mergeCell ref="D10:G10"/>
    <mergeCell ref="A14:B14"/>
    <mergeCell ref="E14:F14"/>
    <mergeCell ref="G14:G18"/>
    <mergeCell ref="H15:I15"/>
    <mergeCell ref="A16:B16"/>
    <mergeCell ref="E16:F16"/>
    <mergeCell ref="H16:I16"/>
    <mergeCell ref="A18:B18"/>
    <mergeCell ref="E18:F18"/>
    <mergeCell ref="C34:C37"/>
    <mergeCell ref="A21:B21"/>
    <mergeCell ref="A23:B23"/>
    <mergeCell ref="A25:B25"/>
    <mergeCell ref="A27:B27"/>
    <mergeCell ref="A29:B32"/>
    <mergeCell ref="C29:C32"/>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topLeftCell="A17" workbookViewId="0">
      <selection activeCell="E9" sqref="E9"/>
    </sheetView>
  </sheetViews>
  <sheetFormatPr baseColWidth="10" defaultColWidth="11.44140625" defaultRowHeight="15.6" x14ac:dyDescent="0.3"/>
  <cols>
    <col min="1" max="2" width="11.44140625" style="187"/>
    <col min="3" max="3" width="37.33203125" style="187" customWidth="1"/>
    <col min="4" max="4" width="11.44140625" style="187"/>
    <col min="5" max="5" width="15.33203125" style="187" customWidth="1"/>
    <col min="6" max="6" width="11.44140625" style="187"/>
    <col min="7" max="8" width="23" style="187" customWidth="1"/>
    <col min="9" max="9" width="16.109375" style="187" customWidth="1"/>
    <col min="10" max="16384" width="11.44140625" style="187"/>
  </cols>
  <sheetData>
    <row r="1" spans="2:9" x14ac:dyDescent="0.3">
      <c r="B1" s="948" t="s">
        <v>747</v>
      </c>
      <c r="C1" s="949"/>
      <c r="D1" s="949"/>
      <c r="E1" s="949"/>
      <c r="F1" s="949"/>
      <c r="G1" s="949"/>
      <c r="H1" s="949"/>
      <c r="I1" s="950"/>
    </row>
    <row r="3" spans="2:9" hidden="1" x14ac:dyDescent="0.3"/>
    <row r="4" spans="2:9" x14ac:dyDescent="0.3">
      <c r="E4" s="189"/>
      <c r="G4" s="189"/>
    </row>
    <row r="5" spans="2:9" x14ac:dyDescent="0.3">
      <c r="B5" s="947" t="s">
        <v>731</v>
      </c>
      <c r="C5" s="947"/>
      <c r="E5" s="570">
        <f>+'Masque de Saisie'!E48+'Masque de Saisie'!E49</f>
        <v>12</v>
      </c>
      <c r="G5" s="189"/>
    </row>
    <row r="6" spans="2:9" x14ac:dyDescent="0.3">
      <c r="E6" s="218"/>
      <c r="G6" s="189"/>
    </row>
    <row r="7" spans="2:9" x14ac:dyDescent="0.3">
      <c r="B7" s="947" t="s">
        <v>732</v>
      </c>
      <c r="C7" s="947"/>
      <c r="E7" s="571">
        <f>+'Masque de Saisie'!E49</f>
        <v>6</v>
      </c>
      <c r="G7" s="189"/>
    </row>
    <row r="8" spans="2:9" x14ac:dyDescent="0.3">
      <c r="E8" s="218"/>
      <c r="G8" s="189"/>
    </row>
    <row r="9" spans="2:9" x14ac:dyDescent="0.3">
      <c r="B9" s="947" t="s">
        <v>733</v>
      </c>
      <c r="C9" s="947"/>
      <c r="E9" s="572">
        <f>'[4]MASQUE DE SAISIE '!E57</f>
        <v>22</v>
      </c>
      <c r="G9" s="951" t="s">
        <v>748</v>
      </c>
      <c r="H9" s="951"/>
    </row>
    <row r="10" spans="2:9" x14ac:dyDescent="0.3">
      <c r="E10" s="189"/>
      <c r="G10" s="189"/>
    </row>
    <row r="11" spans="2:9" ht="62.4" x14ac:dyDescent="0.3">
      <c r="E11" s="189"/>
      <c r="G11" s="38" t="s">
        <v>749</v>
      </c>
      <c r="H11" s="38" t="s">
        <v>750</v>
      </c>
    </row>
    <row r="12" spans="2:9" x14ac:dyDescent="0.3">
      <c r="E12" s="189"/>
      <c r="G12" s="189"/>
    </row>
    <row r="13" spans="2:9" ht="31.2" x14ac:dyDescent="0.3">
      <c r="B13" s="947" t="s">
        <v>751</v>
      </c>
      <c r="C13" s="947"/>
      <c r="E13" s="294" t="str">
        <f>IF(E7&lt;=60%*E5,"Régle respectée","Régle non respectée")</f>
        <v>Régle respectée</v>
      </c>
      <c r="G13" s="38">
        <f>IF(E7-60%*E5&lt;0,0,E7-60%*E5)</f>
        <v>0</v>
      </c>
      <c r="H13" s="947">
        <f>MAX(G13,G15,G17)</f>
        <v>0</v>
      </c>
    </row>
    <row r="14" spans="2:9" x14ac:dyDescent="0.3">
      <c r="E14" s="218"/>
      <c r="G14" s="38"/>
      <c r="H14" s="947"/>
    </row>
    <row r="15" spans="2:9" ht="31.2" x14ac:dyDescent="0.3">
      <c r="B15" s="947" t="s">
        <v>752</v>
      </c>
      <c r="C15" s="947"/>
      <c r="E15" s="294" t="str">
        <f>IF(E7&gt;=50%*E5,"Régle respectée","Régle non respectée ")</f>
        <v>Régle respectée</v>
      </c>
      <c r="G15" s="38">
        <f>IF(E15="Régle respectée",0,50%*E5-E7)</f>
        <v>0</v>
      </c>
      <c r="H15" s="947"/>
    </row>
    <row r="16" spans="2:9" x14ac:dyDescent="0.3">
      <c r="E16" s="218"/>
      <c r="G16" s="38"/>
      <c r="H16" s="947"/>
    </row>
    <row r="17" spans="2:8" ht="31.2" x14ac:dyDescent="0.3">
      <c r="B17" s="947" t="s">
        <v>753</v>
      </c>
      <c r="C17" s="947"/>
      <c r="E17" s="294" t="str">
        <f>IF(E7&gt;7.26,"Régle non respectée","Régle respectée ")</f>
        <v xml:space="preserve">Régle respectée </v>
      </c>
      <c r="G17" s="38">
        <f>IF(E7&lt;=7.26,0,E7-7.26)</f>
        <v>0</v>
      </c>
      <c r="H17" s="947"/>
    </row>
    <row r="18" spans="2:8" x14ac:dyDescent="0.3">
      <c r="E18" s="189"/>
      <c r="G18" s="189"/>
    </row>
    <row r="19" spans="2:8" x14ac:dyDescent="0.3">
      <c r="B19" s="947" t="s">
        <v>742</v>
      </c>
      <c r="C19" s="947"/>
      <c r="E19" s="38">
        <f>E5-E7</f>
        <v>6</v>
      </c>
      <c r="G19" s="189"/>
    </row>
    <row r="20" spans="2:8" x14ac:dyDescent="0.3">
      <c r="E20" s="189"/>
      <c r="G20" s="189"/>
    </row>
    <row r="21" spans="2:8" x14ac:dyDescent="0.3">
      <c r="B21" s="947" t="s">
        <v>743</v>
      </c>
      <c r="C21" s="947"/>
      <c r="E21" s="38">
        <f>E9</f>
        <v>22</v>
      </c>
      <c r="G21" s="189"/>
    </row>
    <row r="22" spans="2:8" x14ac:dyDescent="0.3">
      <c r="E22" s="189"/>
      <c r="G22" s="189"/>
    </row>
    <row r="23" spans="2:8" x14ac:dyDescent="0.3">
      <c r="B23" s="947" t="s">
        <v>744</v>
      </c>
      <c r="C23" s="947"/>
      <c r="E23" s="38">
        <f>E7*E21</f>
        <v>132</v>
      </c>
      <c r="G23" s="189"/>
    </row>
    <row r="24" spans="2:8" x14ac:dyDescent="0.3">
      <c r="E24" s="189"/>
      <c r="G24" s="189"/>
    </row>
    <row r="25" spans="2:8" x14ac:dyDescent="0.3">
      <c r="B25" s="947" t="s">
        <v>745</v>
      </c>
      <c r="C25" s="947"/>
      <c r="E25" s="38">
        <f>E19*E21</f>
        <v>132</v>
      </c>
      <c r="G25" s="189"/>
    </row>
    <row r="26" spans="2:8" x14ac:dyDescent="0.3">
      <c r="E26" s="189"/>
      <c r="G26" s="189"/>
    </row>
    <row r="27" spans="2:8" x14ac:dyDescent="0.3">
      <c r="B27" s="947" t="s">
        <v>754</v>
      </c>
      <c r="C27" s="947"/>
      <c r="E27" s="189"/>
      <c r="G27" s="189"/>
    </row>
    <row r="28" spans="2:8" x14ac:dyDescent="0.3">
      <c r="B28" s="947"/>
      <c r="C28" s="947"/>
      <c r="E28" s="947">
        <f>MAX(G17,G15,G13)*E21</f>
        <v>0</v>
      </c>
      <c r="G28" s="189"/>
    </row>
    <row r="29" spans="2:8" x14ac:dyDescent="0.3">
      <c r="B29" s="947"/>
      <c r="C29" s="947"/>
      <c r="E29" s="947"/>
      <c r="G29" s="189"/>
    </row>
    <row r="30" spans="2:8" x14ac:dyDescent="0.3">
      <c r="B30" s="947"/>
      <c r="C30" s="947"/>
      <c r="E30" s="189"/>
      <c r="G30" s="189"/>
    </row>
    <row r="31" spans="2:8" x14ac:dyDescent="0.3">
      <c r="E31" s="189"/>
      <c r="G31" s="189"/>
    </row>
    <row r="32" spans="2:8" x14ac:dyDescent="0.3">
      <c r="E32" s="946"/>
      <c r="G32" s="189"/>
    </row>
    <row r="33" spans="5:7" x14ac:dyDescent="0.3">
      <c r="E33" s="946"/>
      <c r="G33" s="189"/>
    </row>
    <row r="34" spans="5:7" x14ac:dyDescent="0.3">
      <c r="E34" s="946"/>
      <c r="G34" s="189"/>
    </row>
    <row r="35" spans="5:7" x14ac:dyDescent="0.3">
      <c r="E35" s="946"/>
      <c r="G35" s="189"/>
    </row>
    <row r="36" spans="5:7" x14ac:dyDescent="0.3">
      <c r="E36" s="189"/>
      <c r="G36" s="189"/>
    </row>
    <row r="37" spans="5:7" x14ac:dyDescent="0.3">
      <c r="E37" s="189"/>
      <c r="G37" s="189"/>
    </row>
  </sheetData>
  <mergeCells count="16">
    <mergeCell ref="B13:C13"/>
    <mergeCell ref="H13:H17"/>
    <mergeCell ref="B15:C15"/>
    <mergeCell ref="B17:C17"/>
    <mergeCell ref="B1:I1"/>
    <mergeCell ref="B5:C5"/>
    <mergeCell ref="B7:C7"/>
    <mergeCell ref="B9:C9"/>
    <mergeCell ref="G9:H9"/>
    <mergeCell ref="E32:E35"/>
    <mergeCell ref="B19:C19"/>
    <mergeCell ref="B21:C21"/>
    <mergeCell ref="B23:C23"/>
    <mergeCell ref="B25:C25"/>
    <mergeCell ref="B27:C30"/>
    <mergeCell ref="E28:E2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L22"/>
  <sheetViews>
    <sheetView workbookViewId="0">
      <selection activeCell="E8" sqref="E8"/>
    </sheetView>
  </sheetViews>
  <sheetFormatPr baseColWidth="10" defaultColWidth="11.44140625" defaultRowHeight="13.8" x14ac:dyDescent="0.25"/>
  <cols>
    <col min="1" max="1" width="6" style="58" customWidth="1"/>
    <col min="2" max="3" width="13.88671875" style="58" customWidth="1"/>
    <col min="4" max="4" width="16.33203125" style="58" customWidth="1"/>
    <col min="5" max="8" width="13.88671875" style="58" customWidth="1"/>
    <col min="9" max="10" width="8.44140625" style="58" customWidth="1"/>
    <col min="11" max="11" width="4.5546875" style="58" customWidth="1"/>
    <col min="12" max="16384" width="11.44140625" style="58"/>
  </cols>
  <sheetData>
    <row r="1" spans="1:12" s="575" customFormat="1" ht="15.6" x14ac:dyDescent="0.25">
      <c r="B1" s="952" t="s">
        <v>755</v>
      </c>
      <c r="C1" s="952"/>
      <c r="D1" s="952"/>
      <c r="E1" s="952"/>
      <c r="F1" s="952"/>
      <c r="G1" s="952"/>
      <c r="H1" s="952"/>
      <c r="I1" s="952"/>
      <c r="J1" s="952"/>
      <c r="K1" s="952"/>
      <c r="L1" s="952"/>
    </row>
    <row r="2" spans="1:12" s="575" customFormat="1" ht="22.8" customHeight="1" x14ac:dyDescent="0.25">
      <c r="B2" s="953" t="s">
        <v>756</v>
      </c>
      <c r="C2" s="953"/>
      <c r="D2" s="953"/>
      <c r="E2" s="953"/>
      <c r="F2" s="953"/>
      <c r="G2" s="953"/>
      <c r="H2" s="953"/>
      <c r="I2" s="953"/>
      <c r="J2" s="953"/>
      <c r="K2" s="953"/>
      <c r="L2" s="953"/>
    </row>
    <row r="3" spans="1:12" x14ac:dyDescent="0.25">
      <c r="B3" s="309" t="s">
        <v>264</v>
      </c>
      <c r="C3" s="309" t="s">
        <v>226</v>
      </c>
      <c r="D3" s="309" t="s">
        <v>265</v>
      </c>
      <c r="E3" s="309" t="s">
        <v>266</v>
      </c>
      <c r="F3" s="309" t="s">
        <v>267</v>
      </c>
      <c r="G3" s="309" t="s">
        <v>268</v>
      </c>
      <c r="H3" s="309" t="s">
        <v>296</v>
      </c>
      <c r="I3" s="309" t="s">
        <v>297</v>
      </c>
      <c r="J3" s="309" t="s">
        <v>298</v>
      </c>
      <c r="K3" s="37">
        <v>1</v>
      </c>
    </row>
    <row r="4" spans="1:12" x14ac:dyDescent="0.25">
      <c r="B4" s="956" t="s">
        <v>299</v>
      </c>
      <c r="C4" s="956"/>
      <c r="D4" s="956"/>
      <c r="E4" s="562">
        <f>IF(E6&gt;=E11,0.3193,0.3194)</f>
        <v>0.31929999999999997</v>
      </c>
      <c r="F4" s="374" t="s">
        <v>300</v>
      </c>
      <c r="K4" s="37">
        <v>2</v>
      </c>
    </row>
    <row r="5" spans="1:12" x14ac:dyDescent="0.25">
      <c r="B5" s="956" t="s">
        <v>301</v>
      </c>
      <c r="C5" s="956"/>
      <c r="D5" s="956"/>
      <c r="E5" s="564">
        <f>IF(E6&lt;E11,0.3234,0.3233)</f>
        <v>0.32329999999999998</v>
      </c>
      <c r="F5" s="309" t="s">
        <v>300</v>
      </c>
      <c r="K5" s="37">
        <v>3</v>
      </c>
    </row>
    <row r="6" spans="1:12" x14ac:dyDescent="0.25">
      <c r="B6" s="956" t="s">
        <v>727</v>
      </c>
      <c r="C6" s="956"/>
      <c r="D6" s="956"/>
      <c r="E6" s="560">
        <f>'BP FORMAT JUILLET 2023'!H10</f>
        <v>45931</v>
      </c>
      <c r="F6" s="60"/>
      <c r="K6" s="37"/>
    </row>
    <row r="7" spans="1:12" x14ac:dyDescent="0.25">
      <c r="B7" s="956" t="s">
        <v>302</v>
      </c>
      <c r="C7" s="956"/>
      <c r="D7" s="956"/>
      <c r="E7" s="377">
        <f>'BP VERSION JANVIER 2023'!B9</f>
        <v>200</v>
      </c>
      <c r="F7" s="60"/>
      <c r="K7" s="37">
        <v>4</v>
      </c>
    </row>
    <row r="8" spans="1:12" x14ac:dyDescent="0.25">
      <c r="B8" s="956" t="s">
        <v>303</v>
      </c>
      <c r="C8" s="956"/>
      <c r="D8" s="956"/>
      <c r="E8" s="377"/>
      <c r="F8" s="954" t="s">
        <v>770</v>
      </c>
      <c r="G8" s="955"/>
      <c r="H8" s="955"/>
      <c r="K8" s="37">
        <v>5</v>
      </c>
    </row>
    <row r="9" spans="1:12" x14ac:dyDescent="0.25">
      <c r="B9" s="956" t="s">
        <v>304</v>
      </c>
      <c r="C9" s="956"/>
      <c r="D9" s="956"/>
      <c r="E9" s="377">
        <f>'BP VERSION JANVIER 2023'!B10</f>
        <v>161</v>
      </c>
      <c r="F9" s="60"/>
      <c r="K9" s="37">
        <v>6</v>
      </c>
    </row>
    <row r="10" spans="1:12" x14ac:dyDescent="0.25">
      <c r="B10" s="956" t="s">
        <v>305</v>
      </c>
      <c r="C10" s="956"/>
      <c r="D10" s="956"/>
      <c r="E10" s="561">
        <f>'BP VERSION JANVIER 2023'!J33</f>
        <v>700.35</v>
      </c>
      <c r="F10" s="60"/>
      <c r="K10" s="37"/>
    </row>
    <row r="11" spans="1:12" x14ac:dyDescent="0.25">
      <c r="B11" s="956" t="s">
        <v>728</v>
      </c>
      <c r="C11" s="956"/>
      <c r="D11" s="956"/>
      <c r="E11" s="498">
        <v>45778</v>
      </c>
      <c r="K11" s="37">
        <v>7</v>
      </c>
    </row>
    <row r="12" spans="1:12" ht="30.75" customHeight="1" x14ac:dyDescent="0.25">
      <c r="B12" s="957" t="s">
        <v>306</v>
      </c>
      <c r="C12" s="957"/>
      <c r="D12" s="957"/>
      <c r="E12" s="957"/>
      <c r="F12" s="957"/>
      <c r="G12" s="957"/>
      <c r="H12" s="957"/>
      <c r="I12" s="957"/>
      <c r="J12" s="958"/>
      <c r="K12" s="37">
        <v>8</v>
      </c>
    </row>
    <row r="13" spans="1:12" ht="30.75" customHeight="1" x14ac:dyDescent="0.25">
      <c r="A13" s="206"/>
      <c r="B13" s="939" t="s">
        <v>305</v>
      </c>
      <c r="C13" s="939" t="s">
        <v>307</v>
      </c>
      <c r="D13" s="939" t="s">
        <v>14</v>
      </c>
      <c r="E13" s="37" t="s">
        <v>308</v>
      </c>
      <c r="F13" s="867" t="s">
        <v>309</v>
      </c>
      <c r="G13" s="867" t="s">
        <v>310</v>
      </c>
      <c r="H13" s="867" t="s">
        <v>311</v>
      </c>
      <c r="I13" s="867" t="s">
        <v>312</v>
      </c>
      <c r="J13" s="861"/>
      <c r="K13" s="37">
        <v>9</v>
      </c>
    </row>
    <row r="14" spans="1:12" ht="30.75" customHeight="1" x14ac:dyDescent="0.25">
      <c r="B14" s="940"/>
      <c r="C14" s="940"/>
      <c r="D14" s="940"/>
      <c r="E14" s="940" t="s">
        <v>313</v>
      </c>
      <c r="F14" s="867"/>
      <c r="G14" s="867"/>
      <c r="H14" s="867"/>
      <c r="I14" s="867"/>
      <c r="J14" s="861"/>
      <c r="K14" s="37">
        <v>10</v>
      </c>
    </row>
    <row r="15" spans="1:12" ht="30.75" customHeight="1" x14ac:dyDescent="0.25">
      <c r="B15" s="941"/>
      <c r="C15" s="941"/>
      <c r="D15" s="941"/>
      <c r="E15" s="941"/>
      <c r="F15" s="867"/>
      <c r="G15" s="867"/>
      <c r="H15" s="867"/>
      <c r="I15" s="867"/>
      <c r="J15" s="861"/>
      <c r="K15" s="37">
        <v>11</v>
      </c>
    </row>
    <row r="16" spans="1:12" ht="30.75" customHeight="1" x14ac:dyDescent="0.25">
      <c r="B16" s="940">
        <f>E10</f>
        <v>700.35</v>
      </c>
      <c r="C16" s="940">
        <f>E9</f>
        <v>161</v>
      </c>
      <c r="D16" s="940">
        <f>E8</f>
        <v>0</v>
      </c>
      <c r="E16" s="940">
        <f>1.6*D16*C16</f>
        <v>0</v>
      </c>
      <c r="F16" s="940">
        <f>E16/B16</f>
        <v>0</v>
      </c>
      <c r="G16" s="940">
        <f>IF(F16&lt;=1,0,F16-1)</f>
        <v>0</v>
      </c>
      <c r="H16" s="959">
        <f>ROUND(IF(E7&lt;50,E4*G16/0.6,E5*G16/0.6),4)</f>
        <v>0</v>
      </c>
      <c r="I16" s="960">
        <f>ROUND(H16*B16,2)</f>
        <v>0</v>
      </c>
      <c r="J16" s="961"/>
      <c r="K16" s="37">
        <v>12</v>
      </c>
    </row>
    <row r="17" spans="1:11" ht="30.75" customHeight="1" x14ac:dyDescent="0.25">
      <c r="B17" s="941"/>
      <c r="C17" s="941"/>
      <c r="D17" s="941"/>
      <c r="E17" s="941"/>
      <c r="F17" s="941"/>
      <c r="G17" s="941"/>
      <c r="H17" s="941"/>
      <c r="I17" s="962"/>
      <c r="J17" s="963"/>
      <c r="K17" s="37">
        <v>13</v>
      </c>
    </row>
    <row r="18" spans="1:11" ht="29.25" customHeight="1" x14ac:dyDescent="0.25">
      <c r="A18" s="206"/>
      <c r="B18" s="892"/>
      <c r="C18" s="892"/>
      <c r="D18" s="892"/>
      <c r="E18" s="62"/>
      <c r="F18" s="892"/>
      <c r="G18" s="892"/>
      <c r="H18" s="892"/>
      <c r="I18" s="892"/>
      <c r="J18" s="892"/>
      <c r="K18" s="62"/>
    </row>
    <row r="19" spans="1:11" ht="29.25" customHeight="1" x14ac:dyDescent="0.25">
      <c r="B19" s="892"/>
      <c r="C19" s="892"/>
      <c r="D19" s="892"/>
      <c r="E19" s="892"/>
      <c r="F19" s="892"/>
      <c r="G19" s="892"/>
      <c r="H19" s="892"/>
      <c r="I19" s="892"/>
      <c r="J19" s="892"/>
      <c r="K19" s="62"/>
    </row>
    <row r="20" spans="1:11" ht="29.25" customHeight="1" x14ac:dyDescent="0.25">
      <c r="B20" s="892"/>
      <c r="C20" s="892"/>
      <c r="D20" s="892"/>
      <c r="E20" s="892"/>
      <c r="F20" s="892"/>
      <c r="G20" s="892"/>
      <c r="H20" s="892"/>
      <c r="I20" s="892"/>
      <c r="J20" s="892"/>
      <c r="K20" s="62"/>
    </row>
    <row r="21" spans="1:11" ht="29.25" customHeight="1" x14ac:dyDescent="0.25">
      <c r="B21" s="892"/>
      <c r="C21" s="892"/>
      <c r="D21" s="892"/>
      <c r="E21" s="892"/>
      <c r="F21" s="892"/>
      <c r="G21" s="892"/>
      <c r="H21" s="892"/>
      <c r="I21" s="961"/>
      <c r="J21" s="961"/>
      <c r="K21" s="62"/>
    </row>
    <row r="22" spans="1:11" ht="29.25" customHeight="1" x14ac:dyDescent="0.25">
      <c r="B22" s="892"/>
      <c r="C22" s="892"/>
      <c r="D22" s="892"/>
      <c r="E22" s="892"/>
      <c r="F22" s="892"/>
      <c r="G22" s="892"/>
      <c r="H22" s="892"/>
      <c r="I22" s="961"/>
      <c r="J22" s="961"/>
      <c r="K22" s="62"/>
    </row>
  </sheetData>
  <mergeCells count="44">
    <mergeCell ref="G21:G22"/>
    <mergeCell ref="H21:H22"/>
    <mergeCell ref="I21:J22"/>
    <mergeCell ref="E19:E20"/>
    <mergeCell ref="B21:B22"/>
    <mergeCell ref="C21:C22"/>
    <mergeCell ref="D21:D22"/>
    <mergeCell ref="E21:E22"/>
    <mergeCell ref="F21:F22"/>
    <mergeCell ref="H16:H17"/>
    <mergeCell ref="I16:J17"/>
    <mergeCell ref="B18:B20"/>
    <mergeCell ref="C18:C20"/>
    <mergeCell ref="D18:D20"/>
    <mergeCell ref="F18:F20"/>
    <mergeCell ref="G18:G20"/>
    <mergeCell ref="H18:H20"/>
    <mergeCell ref="I18:J20"/>
    <mergeCell ref="B16:B17"/>
    <mergeCell ref="C16:C17"/>
    <mergeCell ref="D16:D17"/>
    <mergeCell ref="E16:E17"/>
    <mergeCell ref="F16:F17"/>
    <mergeCell ref="G16:G17"/>
    <mergeCell ref="B12:J12"/>
    <mergeCell ref="B13:B15"/>
    <mergeCell ref="C13:C15"/>
    <mergeCell ref="D13:D15"/>
    <mergeCell ref="F13:F15"/>
    <mergeCell ref="G13:G15"/>
    <mergeCell ref="H13:H15"/>
    <mergeCell ref="I13:J15"/>
    <mergeCell ref="E14:E15"/>
    <mergeCell ref="B1:L1"/>
    <mergeCell ref="B2:L2"/>
    <mergeCell ref="F8:H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L26"/>
  <sheetViews>
    <sheetView topLeftCell="A3" zoomScale="110" zoomScaleNormal="110" workbookViewId="0">
      <selection activeCell="E9" sqref="E9"/>
    </sheetView>
  </sheetViews>
  <sheetFormatPr baseColWidth="10" defaultColWidth="11.44140625" defaultRowHeight="13.8" x14ac:dyDescent="0.25"/>
  <cols>
    <col min="1" max="1" width="6" style="58" customWidth="1"/>
    <col min="2" max="3" width="13.88671875" style="58" customWidth="1"/>
    <col min="4" max="4" width="19" style="58" customWidth="1"/>
    <col min="5" max="8" width="13.88671875" style="58" customWidth="1"/>
    <col min="9" max="10" width="8.44140625" style="58" customWidth="1"/>
    <col min="11" max="11" width="4.5546875" style="58" customWidth="1"/>
    <col min="12" max="16384" width="11.44140625" style="58"/>
  </cols>
  <sheetData>
    <row r="1" spans="1:12" s="575" customFormat="1" ht="15.6" x14ac:dyDescent="0.25">
      <c r="B1" s="952" t="s">
        <v>755</v>
      </c>
      <c r="C1" s="952"/>
      <c r="D1" s="952"/>
      <c r="E1" s="952"/>
      <c r="F1" s="952"/>
      <c r="G1" s="952"/>
      <c r="H1" s="952"/>
      <c r="I1" s="952"/>
      <c r="J1" s="952"/>
      <c r="K1" s="952"/>
      <c r="L1" s="952"/>
    </row>
    <row r="2" spans="1:12" s="575" customFormat="1" ht="22.8" customHeight="1" x14ac:dyDescent="0.25">
      <c r="B2" s="953" t="s">
        <v>756</v>
      </c>
      <c r="C2" s="953"/>
      <c r="D2" s="953"/>
      <c r="E2" s="953"/>
      <c r="F2" s="953"/>
      <c r="G2" s="953"/>
      <c r="H2" s="953"/>
      <c r="I2" s="953"/>
      <c r="J2" s="953"/>
      <c r="K2" s="953"/>
      <c r="L2" s="953"/>
    </row>
    <row r="3" spans="1:12" x14ac:dyDescent="0.25">
      <c r="B3" s="309" t="s">
        <v>264</v>
      </c>
      <c r="C3" s="309" t="s">
        <v>226</v>
      </c>
      <c r="D3" s="309" t="s">
        <v>265</v>
      </c>
      <c r="E3" s="309" t="s">
        <v>266</v>
      </c>
      <c r="F3" s="309" t="s">
        <v>267</v>
      </c>
      <c r="G3" s="309" t="s">
        <v>268</v>
      </c>
      <c r="H3" s="309" t="s">
        <v>296</v>
      </c>
      <c r="I3" s="309" t="s">
        <v>297</v>
      </c>
      <c r="J3" s="309" t="s">
        <v>298</v>
      </c>
      <c r="K3" s="37">
        <v>1</v>
      </c>
    </row>
    <row r="4" spans="1:12" x14ac:dyDescent="0.25">
      <c r="B4" s="869" t="s">
        <v>299</v>
      </c>
      <c r="C4" s="869"/>
      <c r="D4" s="869"/>
      <c r="E4" s="309">
        <f>IF(E6&gt;=E11,0.3193,0.3194)</f>
        <v>0.31929999999999997</v>
      </c>
      <c r="F4" s="375" t="s">
        <v>300</v>
      </c>
      <c r="K4" s="37">
        <v>2</v>
      </c>
    </row>
    <row r="5" spans="1:12" x14ac:dyDescent="0.25">
      <c r="B5" s="869" t="s">
        <v>301</v>
      </c>
      <c r="C5" s="869"/>
      <c r="D5" s="869"/>
      <c r="E5" s="309">
        <f>IF(E6&lt;E11,0.3234,0.3233)</f>
        <v>0.32329999999999998</v>
      </c>
      <c r="F5" s="308" t="s">
        <v>300</v>
      </c>
      <c r="K5" s="37">
        <v>3</v>
      </c>
    </row>
    <row r="6" spans="1:12" x14ac:dyDescent="0.25">
      <c r="B6" s="869" t="s">
        <v>729</v>
      </c>
      <c r="C6" s="869"/>
      <c r="D6" s="869"/>
      <c r="E6" s="563">
        <f>'BP FORMAT JUILLET 2023'!H10</f>
        <v>45931</v>
      </c>
      <c r="F6" s="60"/>
      <c r="K6" s="37"/>
    </row>
    <row r="7" spans="1:12" x14ac:dyDescent="0.25">
      <c r="B7" s="869" t="s">
        <v>302</v>
      </c>
      <c r="C7" s="869"/>
      <c r="D7" s="869"/>
      <c r="E7" s="377">
        <f>'BP FORMAT JUILLET 2023'!B9</f>
        <v>200</v>
      </c>
      <c r="F7" s="60"/>
      <c r="K7" s="37">
        <v>4</v>
      </c>
    </row>
    <row r="8" spans="1:12" x14ac:dyDescent="0.25">
      <c r="B8" s="869" t="s">
        <v>303</v>
      </c>
      <c r="C8" s="869"/>
      <c r="D8" s="869"/>
      <c r="E8" s="377"/>
      <c r="F8" s="954" t="s">
        <v>771</v>
      </c>
      <c r="G8" s="955"/>
      <c r="H8" s="955"/>
      <c r="K8" s="37">
        <v>5</v>
      </c>
    </row>
    <row r="9" spans="1:12" x14ac:dyDescent="0.25">
      <c r="B9" s="869" t="s">
        <v>304</v>
      </c>
      <c r="C9" s="869"/>
      <c r="D9" s="869"/>
      <c r="E9" s="377">
        <f>'BP FORMAT JUILLET 2023'!B10</f>
        <v>161</v>
      </c>
      <c r="F9" s="60"/>
      <c r="K9" s="37">
        <v>6</v>
      </c>
    </row>
    <row r="10" spans="1:12" x14ac:dyDescent="0.25">
      <c r="B10" s="869" t="s">
        <v>305</v>
      </c>
      <c r="C10" s="869"/>
      <c r="D10" s="869"/>
      <c r="E10" s="376">
        <f>'BP FORMAT JUILLET 2023'!J33</f>
        <v>700.35</v>
      </c>
      <c r="F10" s="60"/>
      <c r="K10" s="37"/>
    </row>
    <row r="11" spans="1:12" x14ac:dyDescent="0.25">
      <c r="B11" s="956" t="s">
        <v>728</v>
      </c>
      <c r="C11" s="956"/>
      <c r="D11" s="956"/>
      <c r="E11" s="498">
        <v>45778</v>
      </c>
      <c r="K11" s="37">
        <v>7</v>
      </c>
    </row>
    <row r="12" spans="1:12" ht="30.75" customHeight="1" x14ac:dyDescent="0.25">
      <c r="B12" s="964" t="s">
        <v>306</v>
      </c>
      <c r="C12" s="964"/>
      <c r="D12" s="964"/>
      <c r="E12" s="964"/>
      <c r="F12" s="964"/>
      <c r="G12" s="964"/>
      <c r="H12" s="964"/>
      <c r="I12" s="964"/>
      <c r="J12" s="965"/>
      <c r="K12" s="37">
        <v>8</v>
      </c>
    </row>
    <row r="13" spans="1:12" ht="30.75" customHeight="1" x14ac:dyDescent="0.25">
      <c r="A13" s="206"/>
      <c r="B13" s="939" t="s">
        <v>305</v>
      </c>
      <c r="C13" s="939" t="s">
        <v>307</v>
      </c>
      <c r="D13" s="939" t="s">
        <v>14</v>
      </c>
      <c r="E13" s="37" t="s">
        <v>308</v>
      </c>
      <c r="F13" s="867" t="s">
        <v>309</v>
      </c>
      <c r="G13" s="867" t="s">
        <v>310</v>
      </c>
      <c r="H13" s="867" t="s">
        <v>311</v>
      </c>
      <c r="I13" s="867" t="s">
        <v>312</v>
      </c>
      <c r="J13" s="861"/>
      <c r="K13" s="37">
        <v>9</v>
      </c>
    </row>
    <row r="14" spans="1:12" ht="30.75" customHeight="1" x14ac:dyDescent="0.25">
      <c r="B14" s="940"/>
      <c r="C14" s="940"/>
      <c r="D14" s="940"/>
      <c r="E14" s="940" t="s">
        <v>313</v>
      </c>
      <c r="F14" s="867"/>
      <c r="G14" s="867"/>
      <c r="H14" s="867"/>
      <c r="I14" s="867"/>
      <c r="J14" s="861"/>
      <c r="K14" s="37">
        <v>10</v>
      </c>
    </row>
    <row r="15" spans="1:12" ht="30.75" customHeight="1" x14ac:dyDescent="0.25">
      <c r="B15" s="941"/>
      <c r="C15" s="941"/>
      <c r="D15" s="941"/>
      <c r="E15" s="941"/>
      <c r="F15" s="867"/>
      <c r="G15" s="867"/>
      <c r="H15" s="867"/>
      <c r="I15" s="867"/>
      <c r="J15" s="861"/>
      <c r="K15" s="37">
        <v>11</v>
      </c>
    </row>
    <row r="16" spans="1:12" ht="30.75" customHeight="1" x14ac:dyDescent="0.25">
      <c r="B16" s="966">
        <f>+E10</f>
        <v>700.35</v>
      </c>
      <c r="C16" s="940">
        <f>E9</f>
        <v>161</v>
      </c>
      <c r="D16" s="940">
        <f>E8</f>
        <v>0</v>
      </c>
      <c r="E16" s="940">
        <f>1.6*D16*C16</f>
        <v>0</v>
      </c>
      <c r="F16" s="940">
        <f>E16/B16</f>
        <v>0</v>
      </c>
      <c r="G16" s="940">
        <f>IF(F16&lt;=1,0,F16-1)</f>
        <v>0</v>
      </c>
      <c r="H16" s="959">
        <f>ROUND(IF(E7&lt;50,E4*G16/0.6,E5*G16/0.6),4)</f>
        <v>0</v>
      </c>
      <c r="I16" s="960">
        <f>ROUND(H16*B16,2)</f>
        <v>0</v>
      </c>
      <c r="J16" s="961"/>
      <c r="K16" s="37">
        <v>12</v>
      </c>
    </row>
    <row r="17" spans="1:11" ht="30.75" customHeight="1" x14ac:dyDescent="0.25">
      <c r="B17" s="941"/>
      <c r="C17" s="941"/>
      <c r="D17" s="941"/>
      <c r="E17" s="941"/>
      <c r="F17" s="941"/>
      <c r="G17" s="941"/>
      <c r="H17" s="941"/>
      <c r="I17" s="962"/>
      <c r="J17" s="963"/>
      <c r="K17" s="37">
        <v>13</v>
      </c>
    </row>
    <row r="21" spans="1:11" ht="27.75" customHeight="1" x14ac:dyDescent="0.25"/>
    <row r="22" spans="1:11" ht="29.25" customHeight="1" x14ac:dyDescent="0.25">
      <c r="A22" s="206"/>
      <c r="B22" s="892"/>
      <c r="C22" s="892"/>
      <c r="D22" s="892"/>
      <c r="E22" s="62"/>
      <c r="F22" s="892"/>
      <c r="G22" s="892"/>
      <c r="H22" s="892"/>
      <c r="I22" s="892"/>
      <c r="J22" s="892"/>
      <c r="K22" s="62"/>
    </row>
    <row r="23" spans="1:11" ht="29.25" customHeight="1" x14ac:dyDescent="0.25">
      <c r="B23" s="892"/>
      <c r="C23" s="892"/>
      <c r="D23" s="892"/>
      <c r="E23" s="892"/>
      <c r="F23" s="892"/>
      <c r="G23" s="892"/>
      <c r="H23" s="892"/>
      <c r="I23" s="892"/>
      <c r="J23" s="892"/>
      <c r="K23" s="62"/>
    </row>
    <row r="24" spans="1:11" ht="29.25" customHeight="1" x14ac:dyDescent="0.25">
      <c r="B24" s="892"/>
      <c r="C24" s="892"/>
      <c r="D24" s="892"/>
      <c r="E24" s="892"/>
      <c r="F24" s="892"/>
      <c r="G24" s="892"/>
      <c r="H24" s="892"/>
      <c r="I24" s="892"/>
      <c r="J24" s="892"/>
      <c r="K24" s="62"/>
    </row>
    <row r="25" spans="1:11" ht="29.25" customHeight="1" x14ac:dyDescent="0.25">
      <c r="B25" s="892"/>
      <c r="C25" s="892"/>
      <c r="D25" s="892"/>
      <c r="E25" s="892"/>
      <c r="F25" s="892"/>
      <c r="G25" s="892"/>
      <c r="H25" s="892"/>
      <c r="I25" s="961"/>
      <c r="J25" s="961"/>
      <c r="K25" s="62"/>
    </row>
    <row r="26" spans="1:11" ht="29.25" customHeight="1" x14ac:dyDescent="0.25">
      <c r="B26" s="892"/>
      <c r="C26" s="892"/>
      <c r="D26" s="892"/>
      <c r="E26" s="892"/>
      <c r="F26" s="892"/>
      <c r="G26" s="892"/>
      <c r="H26" s="892"/>
      <c r="I26" s="961"/>
      <c r="J26" s="961"/>
      <c r="K26" s="62"/>
    </row>
  </sheetData>
  <mergeCells count="44">
    <mergeCell ref="G25:G26"/>
    <mergeCell ref="H25:H26"/>
    <mergeCell ref="I25:J26"/>
    <mergeCell ref="E23:E24"/>
    <mergeCell ref="B25:B26"/>
    <mergeCell ref="C25:C26"/>
    <mergeCell ref="D25:D26"/>
    <mergeCell ref="E25:E26"/>
    <mergeCell ref="F25:F26"/>
    <mergeCell ref="H16:H17"/>
    <mergeCell ref="I16:J17"/>
    <mergeCell ref="B22:B24"/>
    <mergeCell ref="C22:C24"/>
    <mergeCell ref="D22:D24"/>
    <mergeCell ref="F22:F24"/>
    <mergeCell ref="G22:G24"/>
    <mergeCell ref="H22:H24"/>
    <mergeCell ref="I22:J24"/>
    <mergeCell ref="B16:B17"/>
    <mergeCell ref="C16:C17"/>
    <mergeCell ref="D16:D17"/>
    <mergeCell ref="E16:E17"/>
    <mergeCell ref="F16:F17"/>
    <mergeCell ref="G16:G17"/>
    <mergeCell ref="B12:J12"/>
    <mergeCell ref="B13:B15"/>
    <mergeCell ref="C13:C15"/>
    <mergeCell ref="D13:D15"/>
    <mergeCell ref="F13:F15"/>
    <mergeCell ref="G13:G15"/>
    <mergeCell ref="H13:H15"/>
    <mergeCell ref="I13:J15"/>
    <mergeCell ref="E14:E15"/>
    <mergeCell ref="B1:L1"/>
    <mergeCell ref="B2:L2"/>
    <mergeCell ref="F8:H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sqref="A1:XFD1048576"/>
    </sheetView>
  </sheetViews>
  <sheetFormatPr baseColWidth="10" defaultColWidth="11.44140625" defaultRowHeight="15.6" x14ac:dyDescent="0.3"/>
  <cols>
    <col min="1" max="1" width="3.33203125" style="187" customWidth="1"/>
    <col min="2" max="3" width="25.664062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67" t="s">
        <v>539</v>
      </c>
      <c r="C1" s="967"/>
      <c r="D1" s="967"/>
      <c r="E1" s="967"/>
      <c r="F1" s="967"/>
      <c r="G1" s="967"/>
      <c r="H1" s="967"/>
    </row>
    <row r="2" spans="2:11" ht="14.25" customHeight="1" x14ac:dyDescent="0.3"/>
    <row r="3" spans="2:11" ht="14.25" customHeight="1" x14ac:dyDescent="0.3"/>
    <row r="5" spans="2:11" ht="14.25" customHeight="1" x14ac:dyDescent="0.3"/>
    <row r="6" spans="2:11" ht="14.25" customHeight="1" x14ac:dyDescent="0.3">
      <c r="B6" s="38" t="s">
        <v>104</v>
      </c>
      <c r="C6" s="38" t="s">
        <v>105</v>
      </c>
      <c r="D6" s="38" t="s">
        <v>106</v>
      </c>
      <c r="E6" s="38"/>
      <c r="J6" s="189"/>
      <c r="K6" s="190"/>
    </row>
    <row r="7" spans="2:11" ht="14.25" customHeight="1" x14ac:dyDescent="0.3">
      <c r="B7" s="515">
        <v>0</v>
      </c>
      <c r="C7" s="515">
        <v>1591</v>
      </c>
      <c r="D7" s="515">
        <v>0</v>
      </c>
      <c r="E7" s="516">
        <f t="shared" ref="E7:E26" si="0" xml:space="preserve"> IF($H$11&gt;=B7,IF($H$11&lt;C7,D7,0),0)</f>
        <v>0</v>
      </c>
    </row>
    <row r="8" spans="2:11" ht="14.25" customHeight="1" x14ac:dyDescent="0.3">
      <c r="B8" s="515">
        <f>C7</f>
        <v>1591</v>
      </c>
      <c r="C8" s="515">
        <v>1653</v>
      </c>
      <c r="D8" s="434">
        <v>5.0000000000000001E-3</v>
      </c>
      <c r="E8" s="434">
        <f t="shared" si="0"/>
        <v>0</v>
      </c>
    </row>
    <row r="9" spans="2:11" ht="14.25" customHeight="1" x14ac:dyDescent="0.3">
      <c r="B9" s="515">
        <f t="shared" ref="B9:B26" si="1">C8</f>
        <v>1653</v>
      </c>
      <c r="C9" s="515">
        <v>1759</v>
      </c>
      <c r="D9" s="434">
        <v>1.2999999999999999E-2</v>
      </c>
      <c r="E9" s="434">
        <f t="shared" si="0"/>
        <v>0</v>
      </c>
    </row>
    <row r="10" spans="2:11" ht="14.25" customHeight="1" x14ac:dyDescent="0.3">
      <c r="B10" s="515">
        <f t="shared" si="1"/>
        <v>1759</v>
      </c>
      <c r="C10" s="515">
        <v>1877</v>
      </c>
      <c r="D10" s="434">
        <v>2.1000000000000001E-2</v>
      </c>
      <c r="E10" s="434">
        <f t="shared" si="0"/>
        <v>0</v>
      </c>
      <c r="G10" s="891" t="s">
        <v>203</v>
      </c>
      <c r="H10" s="891"/>
    </row>
    <row r="11" spans="2:11" ht="14.25" customHeight="1" x14ac:dyDescent="0.3">
      <c r="B11" s="515">
        <f t="shared" si="1"/>
        <v>1877</v>
      </c>
      <c r="C11" s="515">
        <v>2006</v>
      </c>
      <c r="D11" s="434">
        <v>2.9000000000000001E-2</v>
      </c>
      <c r="E11" s="434">
        <f t="shared" si="0"/>
        <v>0</v>
      </c>
      <c r="G11" s="195" t="s">
        <v>102</v>
      </c>
      <c r="H11" s="196">
        <f>'BP FORMAT JUILLET 2023'!D89</f>
        <v>0</v>
      </c>
    </row>
    <row r="12" spans="2:11" ht="14.25" customHeight="1" x14ac:dyDescent="0.3">
      <c r="B12" s="515">
        <f t="shared" si="1"/>
        <v>2006</v>
      </c>
      <c r="C12" s="515">
        <v>2113</v>
      </c>
      <c r="D12" s="434">
        <v>3.5000000000000003E-2</v>
      </c>
      <c r="E12" s="434">
        <f t="shared" si="0"/>
        <v>0</v>
      </c>
      <c r="G12" s="195" t="s">
        <v>103</v>
      </c>
      <c r="H12" s="197">
        <f>E27</f>
        <v>0</v>
      </c>
    </row>
    <row r="13" spans="2:11" ht="14.25" customHeight="1" x14ac:dyDescent="0.3">
      <c r="B13" s="515">
        <f t="shared" si="1"/>
        <v>2113</v>
      </c>
      <c r="C13" s="515">
        <v>2253</v>
      </c>
      <c r="D13" s="434">
        <v>4.1000000000000002E-2</v>
      </c>
      <c r="E13" s="434">
        <f t="shared" si="0"/>
        <v>0</v>
      </c>
    </row>
    <row r="14" spans="2:11" ht="14.25" customHeight="1" x14ac:dyDescent="0.3">
      <c r="B14" s="515">
        <f t="shared" si="1"/>
        <v>2253</v>
      </c>
      <c r="C14" s="515">
        <v>2666</v>
      </c>
      <c r="D14" s="434">
        <v>5.2999999999999999E-2</v>
      </c>
      <c r="E14" s="434">
        <f t="shared" si="0"/>
        <v>0</v>
      </c>
    </row>
    <row r="15" spans="2:11" ht="14.25" customHeight="1" x14ac:dyDescent="0.3">
      <c r="B15" s="515">
        <f t="shared" si="1"/>
        <v>2666</v>
      </c>
      <c r="C15" s="515">
        <v>3052</v>
      </c>
      <c r="D15" s="434">
        <v>7.4999999999999997E-2</v>
      </c>
      <c r="E15" s="434">
        <f t="shared" si="0"/>
        <v>0</v>
      </c>
    </row>
    <row r="16" spans="2:11" ht="14.25" customHeight="1" x14ac:dyDescent="0.3">
      <c r="B16" s="515">
        <f t="shared" si="1"/>
        <v>3052</v>
      </c>
      <c r="C16" s="515">
        <v>3476</v>
      </c>
      <c r="D16" s="434">
        <v>9.9000000000000005E-2</v>
      </c>
      <c r="E16" s="434">
        <f t="shared" si="0"/>
        <v>0</v>
      </c>
    </row>
    <row r="17" spans="2:11" ht="14.25" customHeight="1" x14ac:dyDescent="0.3">
      <c r="B17" s="515">
        <f t="shared" si="1"/>
        <v>3476</v>
      </c>
      <c r="C17" s="515">
        <v>3913</v>
      </c>
      <c r="D17" s="434">
        <v>0.11899999999999999</v>
      </c>
      <c r="E17" s="434">
        <f t="shared" si="0"/>
        <v>0</v>
      </c>
    </row>
    <row r="18" spans="2:11" ht="14.25" customHeight="1" x14ac:dyDescent="0.3">
      <c r="B18" s="515">
        <f t="shared" si="1"/>
        <v>3913</v>
      </c>
      <c r="C18" s="515">
        <v>4566</v>
      </c>
      <c r="D18" s="434">
        <v>0.13800000000000001</v>
      </c>
      <c r="E18" s="434">
        <f t="shared" si="0"/>
        <v>0</v>
      </c>
    </row>
    <row r="19" spans="2:11" ht="14.25" customHeight="1" x14ac:dyDescent="0.3">
      <c r="B19" s="515">
        <f t="shared" si="1"/>
        <v>4566</v>
      </c>
      <c r="C19" s="515">
        <v>5475</v>
      </c>
      <c r="D19" s="434">
        <v>0.158</v>
      </c>
      <c r="E19" s="434">
        <f t="shared" si="0"/>
        <v>0</v>
      </c>
    </row>
    <row r="20" spans="2:11" ht="14.25" customHeight="1" x14ac:dyDescent="0.3">
      <c r="B20" s="515">
        <f t="shared" si="1"/>
        <v>5475</v>
      </c>
      <c r="C20" s="515">
        <v>6851</v>
      </c>
      <c r="D20" s="434">
        <v>0.17899999999999999</v>
      </c>
      <c r="E20" s="434">
        <f t="shared" si="0"/>
        <v>0</v>
      </c>
    </row>
    <row r="21" spans="2:11" ht="14.25" customHeight="1" x14ac:dyDescent="0.3">
      <c r="B21" s="515">
        <f t="shared" si="1"/>
        <v>6851</v>
      </c>
      <c r="C21" s="515">
        <v>8557</v>
      </c>
      <c r="D21" s="434">
        <v>0.2</v>
      </c>
      <c r="E21" s="434">
        <f t="shared" si="0"/>
        <v>0</v>
      </c>
    </row>
    <row r="22" spans="2:11" ht="14.25" customHeight="1" x14ac:dyDescent="0.3">
      <c r="B22" s="515">
        <f t="shared" si="1"/>
        <v>8557</v>
      </c>
      <c r="C22" s="515">
        <v>11877</v>
      </c>
      <c r="D22" s="434">
        <v>0.24</v>
      </c>
      <c r="E22" s="434">
        <f t="shared" si="0"/>
        <v>0</v>
      </c>
    </row>
    <row r="23" spans="2:11" ht="14.25" customHeight="1" x14ac:dyDescent="0.3">
      <c r="B23" s="515">
        <f t="shared" si="1"/>
        <v>11877</v>
      </c>
      <c r="C23" s="515">
        <v>16086</v>
      </c>
      <c r="D23" s="434">
        <v>0.28000000000000003</v>
      </c>
      <c r="E23" s="434">
        <f t="shared" si="0"/>
        <v>0</v>
      </c>
    </row>
    <row r="24" spans="2:11" ht="14.25" customHeight="1" x14ac:dyDescent="0.3">
      <c r="B24" s="515">
        <f t="shared" si="1"/>
        <v>16086</v>
      </c>
      <c r="C24" s="515">
        <v>25251</v>
      </c>
      <c r="D24" s="434">
        <v>0.33</v>
      </c>
      <c r="E24" s="434">
        <f t="shared" si="0"/>
        <v>0</v>
      </c>
    </row>
    <row r="25" spans="2:11" ht="14.25" customHeight="1" x14ac:dyDescent="0.3">
      <c r="B25" s="515">
        <f t="shared" si="1"/>
        <v>25251</v>
      </c>
      <c r="C25" s="515">
        <v>54088</v>
      </c>
      <c r="D25" s="434">
        <v>0.38</v>
      </c>
      <c r="E25" s="434">
        <f t="shared" si="0"/>
        <v>0</v>
      </c>
    </row>
    <row r="26" spans="2:11" ht="14.25" customHeight="1" x14ac:dyDescent="0.3">
      <c r="B26" s="515">
        <f t="shared" si="1"/>
        <v>54088</v>
      </c>
      <c r="C26" s="515">
        <v>99999999999</v>
      </c>
      <c r="D26" s="434">
        <v>0.43</v>
      </c>
      <c r="E26" s="434">
        <f t="shared" si="0"/>
        <v>0</v>
      </c>
    </row>
    <row r="27" spans="2:11" ht="14.25" customHeight="1" x14ac:dyDescent="0.3">
      <c r="B27" s="189"/>
      <c r="E27" s="194">
        <f>SUM(E7:E26)</f>
        <v>0</v>
      </c>
    </row>
    <row r="28" spans="2:11" ht="18" customHeight="1" x14ac:dyDescent="0.3"/>
    <row r="29" spans="2:11" ht="14.25" hidden="1" customHeight="1" x14ac:dyDescent="0.3">
      <c r="J29" s="680"/>
      <c r="K29" s="680"/>
    </row>
    <row r="30" spans="2:11" ht="14.25" hidden="1" customHeight="1" x14ac:dyDescent="0.3">
      <c r="B30" s="38" t="s">
        <v>104</v>
      </c>
      <c r="C30" s="38" t="s">
        <v>105</v>
      </c>
      <c r="D30" s="38" t="s">
        <v>106</v>
      </c>
      <c r="E30" s="38"/>
      <c r="K30" s="199"/>
    </row>
    <row r="31" spans="2:11" ht="14.25" hidden="1" customHeight="1" x14ac:dyDescent="0.3">
      <c r="B31" s="191">
        <v>0</v>
      </c>
      <c r="C31" s="191">
        <v>1440</v>
      </c>
      <c r="D31" s="191">
        <v>0</v>
      </c>
      <c r="E31" s="192">
        <f t="shared" ref="E31:E50" si="2" xml:space="preserve"> IF($G$34&gt;=B31,IF($G$34&lt;C31,D31,0),0)</f>
        <v>0</v>
      </c>
      <c r="K31" s="200"/>
    </row>
    <row r="32" spans="2:11" ht="14.25" hidden="1" customHeight="1" x14ac:dyDescent="0.3">
      <c r="B32" s="191">
        <f>C31</f>
        <v>1440</v>
      </c>
      <c r="C32" s="191">
        <v>1496</v>
      </c>
      <c r="D32" s="193">
        <v>5.0000000000000001E-3</v>
      </c>
      <c r="E32" s="194">
        <f t="shared" si="2"/>
        <v>0</v>
      </c>
      <c r="F32" s="201"/>
    </row>
    <row r="33" spans="2:7" ht="14.25" hidden="1" customHeight="1" x14ac:dyDescent="0.3">
      <c r="B33" s="191">
        <f t="shared" ref="B33:B50" si="3">C32</f>
        <v>1496</v>
      </c>
      <c r="C33" s="191">
        <v>1592</v>
      </c>
      <c r="D33" s="193">
        <v>1.2999999999999999E-2</v>
      </c>
      <c r="E33" s="194">
        <f t="shared" si="2"/>
        <v>0</v>
      </c>
      <c r="F33" s="201"/>
      <c r="G33" s="195" t="s">
        <v>204</v>
      </c>
    </row>
    <row r="34" spans="2:7" ht="14.25" hidden="1" customHeight="1" x14ac:dyDescent="0.3">
      <c r="B34" s="191">
        <f t="shared" si="3"/>
        <v>1592</v>
      </c>
      <c r="C34" s="191">
        <v>1699</v>
      </c>
      <c r="D34" s="194">
        <v>2.1000000000000001E-2</v>
      </c>
      <c r="E34" s="194">
        <f t="shared" si="2"/>
        <v>0</v>
      </c>
      <c r="F34" s="201"/>
      <c r="G34" s="196"/>
    </row>
    <row r="35" spans="2:7" ht="14.25" hidden="1" customHeight="1" x14ac:dyDescent="0.3">
      <c r="B35" s="191">
        <f t="shared" si="3"/>
        <v>1699</v>
      </c>
      <c r="C35" s="191">
        <v>1816</v>
      </c>
      <c r="D35" s="194">
        <v>2.9000000000000001E-2</v>
      </c>
      <c r="E35" s="194">
        <f t="shared" si="2"/>
        <v>0</v>
      </c>
      <c r="F35" s="201"/>
      <c r="G35" s="197"/>
    </row>
    <row r="36" spans="2:7" ht="14.25" hidden="1" customHeight="1" x14ac:dyDescent="0.3">
      <c r="B36" s="191">
        <f t="shared" si="3"/>
        <v>1816</v>
      </c>
      <c r="C36" s="191">
        <v>1913</v>
      </c>
      <c r="D36" s="194">
        <v>3.5000000000000003E-2</v>
      </c>
      <c r="E36" s="194">
        <f t="shared" si="2"/>
        <v>0</v>
      </c>
      <c r="F36" s="201"/>
    </row>
    <row r="37" spans="2:7" ht="14.25" hidden="1" customHeight="1" x14ac:dyDescent="0.3">
      <c r="B37" s="191">
        <f t="shared" si="3"/>
        <v>1913</v>
      </c>
      <c r="C37" s="191">
        <v>2040</v>
      </c>
      <c r="D37" s="194">
        <v>4.1000000000000002E-2</v>
      </c>
      <c r="E37" s="194">
        <f t="shared" si="2"/>
        <v>0</v>
      </c>
      <c r="F37" s="201"/>
    </row>
    <row r="38" spans="2:7" ht="14.25" hidden="1" customHeight="1" x14ac:dyDescent="0.3">
      <c r="B38" s="191">
        <f t="shared" si="3"/>
        <v>2040</v>
      </c>
      <c r="C38" s="191">
        <v>2414</v>
      </c>
      <c r="D38" s="194">
        <v>5.2999999999999999E-2</v>
      </c>
      <c r="E38" s="194">
        <f t="shared" si="2"/>
        <v>0</v>
      </c>
      <c r="F38" s="201"/>
    </row>
    <row r="39" spans="2:7" ht="14.25" hidden="1" customHeight="1" x14ac:dyDescent="0.3">
      <c r="B39" s="191">
        <f t="shared" si="3"/>
        <v>2414</v>
      </c>
      <c r="C39" s="191">
        <v>2763</v>
      </c>
      <c r="D39" s="194">
        <v>7.4999999999999997E-2</v>
      </c>
      <c r="E39" s="194">
        <f t="shared" si="2"/>
        <v>0</v>
      </c>
      <c r="F39" s="201"/>
    </row>
    <row r="40" spans="2:7" ht="14.25" hidden="1" customHeight="1" x14ac:dyDescent="0.3">
      <c r="B40" s="191">
        <f t="shared" si="3"/>
        <v>2763</v>
      </c>
      <c r="C40" s="191">
        <v>3147</v>
      </c>
      <c r="D40" s="194">
        <v>9.9000000000000005E-2</v>
      </c>
      <c r="E40" s="194">
        <f t="shared" si="2"/>
        <v>0</v>
      </c>
      <c r="F40" s="201"/>
    </row>
    <row r="41" spans="2:7" ht="14.25" hidden="1" customHeight="1" x14ac:dyDescent="0.3">
      <c r="B41" s="191">
        <f t="shared" si="3"/>
        <v>3147</v>
      </c>
      <c r="C41" s="191">
        <v>3543</v>
      </c>
      <c r="D41" s="194">
        <v>0.11899999999999999</v>
      </c>
      <c r="E41" s="194">
        <f t="shared" si="2"/>
        <v>0</v>
      </c>
      <c r="F41" s="201"/>
    </row>
    <row r="42" spans="2:7" ht="14.25" hidden="1" customHeight="1" x14ac:dyDescent="0.3">
      <c r="B42" s="191">
        <f t="shared" si="3"/>
        <v>3543</v>
      </c>
      <c r="C42" s="191">
        <v>4134</v>
      </c>
      <c r="D42" s="194">
        <v>0.13800000000000001</v>
      </c>
      <c r="E42" s="194">
        <f t="shared" si="2"/>
        <v>0</v>
      </c>
      <c r="F42" s="201"/>
    </row>
    <row r="43" spans="2:7" ht="14.25" hidden="1" customHeight="1" x14ac:dyDescent="0.3">
      <c r="B43" s="191">
        <f t="shared" si="3"/>
        <v>4134</v>
      </c>
      <c r="C43" s="191">
        <v>4956</v>
      </c>
      <c r="D43" s="194">
        <v>0.158</v>
      </c>
      <c r="E43" s="194">
        <f t="shared" si="2"/>
        <v>0</v>
      </c>
      <c r="F43" s="201"/>
    </row>
    <row r="44" spans="2:7" ht="14.25" hidden="1" customHeight="1" x14ac:dyDescent="0.3">
      <c r="B44" s="191">
        <f t="shared" si="3"/>
        <v>4956</v>
      </c>
      <c r="C44" s="191">
        <v>6202</v>
      </c>
      <c r="D44" s="194">
        <v>0.17899999999999999</v>
      </c>
      <c r="E44" s="194">
        <f t="shared" si="2"/>
        <v>0</v>
      </c>
      <c r="F44" s="201"/>
    </row>
    <row r="45" spans="2:7" ht="14.25" hidden="1" customHeight="1" x14ac:dyDescent="0.3">
      <c r="B45" s="191">
        <f t="shared" si="3"/>
        <v>6202</v>
      </c>
      <c r="C45" s="191">
        <v>7747</v>
      </c>
      <c r="D45" s="194">
        <v>0.2</v>
      </c>
      <c r="E45" s="194">
        <f t="shared" si="2"/>
        <v>0</v>
      </c>
      <c r="F45" s="201"/>
    </row>
    <row r="46" spans="2:7" ht="14.25" hidden="1" customHeight="1" x14ac:dyDescent="0.3">
      <c r="B46" s="191">
        <f t="shared" si="3"/>
        <v>7747</v>
      </c>
      <c r="C46" s="191">
        <v>10752</v>
      </c>
      <c r="D46" s="194">
        <v>0.24</v>
      </c>
      <c r="E46" s="194">
        <f t="shared" si="2"/>
        <v>0</v>
      </c>
      <c r="F46" s="201"/>
    </row>
    <row r="47" spans="2:7" ht="14.25" hidden="1" customHeight="1" x14ac:dyDescent="0.3">
      <c r="B47" s="191">
        <f t="shared" si="3"/>
        <v>10752</v>
      </c>
      <c r="C47" s="191">
        <v>14563</v>
      </c>
      <c r="D47" s="194">
        <v>0.28000000000000003</v>
      </c>
      <c r="E47" s="194">
        <f t="shared" si="2"/>
        <v>0</v>
      </c>
      <c r="F47" s="201"/>
    </row>
    <row r="48" spans="2:7" ht="14.25" hidden="1" customHeight="1" x14ac:dyDescent="0.3">
      <c r="B48" s="191">
        <f t="shared" si="3"/>
        <v>14563</v>
      </c>
      <c r="C48" s="191">
        <v>22860</v>
      </c>
      <c r="D48" s="194">
        <v>0.33</v>
      </c>
      <c r="E48" s="194">
        <f t="shared" si="2"/>
        <v>0</v>
      </c>
      <c r="F48" s="201"/>
    </row>
    <row r="49" spans="2:6" ht="14.25" hidden="1" customHeight="1" x14ac:dyDescent="0.3">
      <c r="B49" s="191">
        <f t="shared" si="3"/>
        <v>22860</v>
      </c>
      <c r="C49" s="191">
        <v>48967</v>
      </c>
      <c r="D49" s="194">
        <v>0.38</v>
      </c>
      <c r="E49" s="194">
        <f t="shared" si="2"/>
        <v>0</v>
      </c>
      <c r="F49" s="201"/>
    </row>
    <row r="50" spans="2:6" ht="14.25" hidden="1" customHeight="1" x14ac:dyDescent="0.3">
      <c r="B50" s="191">
        <f t="shared" si="3"/>
        <v>48967</v>
      </c>
      <c r="C50" s="198">
        <v>99999999999</v>
      </c>
      <c r="D50" s="194">
        <v>0.43</v>
      </c>
      <c r="E50" s="194">
        <f t="shared" si="2"/>
        <v>0</v>
      </c>
      <c r="F50" s="201"/>
    </row>
    <row r="51" spans="2:6" ht="14.25" hidden="1" customHeight="1" x14ac:dyDescent="0.3">
      <c r="B51" s="189"/>
      <c r="E51" s="194">
        <f>SUM(E31:E50)</f>
        <v>0</v>
      </c>
      <c r="F51" s="202"/>
    </row>
    <row r="52" spans="2:6" ht="15" hidden="1" customHeight="1" x14ac:dyDescent="0.3"/>
    <row r="53" spans="2:6" ht="15" hidden="1" customHeight="1" x14ac:dyDescent="0.3"/>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8DEC9-940F-4857-ADF5-CE7E8C08689D}">
  <dimension ref="A1:K29"/>
  <sheetViews>
    <sheetView zoomScale="81" workbookViewId="0">
      <selection sqref="A1:XFD1048576"/>
    </sheetView>
  </sheetViews>
  <sheetFormatPr baseColWidth="10" defaultRowHeight="15.6" x14ac:dyDescent="0.3"/>
  <cols>
    <col min="1" max="3" width="23.21875" style="187" customWidth="1"/>
    <col min="4" max="16384" width="11.5546875" style="187"/>
  </cols>
  <sheetData>
    <row r="1" spans="1:11" x14ac:dyDescent="0.3">
      <c r="B1" s="890" t="s">
        <v>839</v>
      </c>
      <c r="C1" s="890"/>
      <c r="D1" s="890"/>
      <c r="E1" s="890"/>
      <c r="F1" s="890"/>
      <c r="G1" s="890"/>
      <c r="H1" s="890"/>
    </row>
    <row r="2" spans="1:11" x14ac:dyDescent="0.3">
      <c r="E2" s="188"/>
    </row>
    <row r="3" spans="1:11" x14ac:dyDescent="0.3">
      <c r="E3" s="188"/>
    </row>
    <row r="4" spans="1:11" x14ac:dyDescent="0.3">
      <c r="E4" s="188"/>
    </row>
    <row r="5" spans="1:11" x14ac:dyDescent="0.3">
      <c r="E5" s="188"/>
    </row>
    <row r="6" spans="1:11" x14ac:dyDescent="0.3">
      <c r="B6" s="38" t="s">
        <v>104</v>
      </c>
      <c r="C6" s="38" t="s">
        <v>105</v>
      </c>
      <c r="D6" s="38" t="s">
        <v>106</v>
      </c>
      <c r="E6" s="38"/>
      <c r="J6" s="189"/>
      <c r="K6" s="190"/>
    </row>
    <row r="7" spans="1:11" x14ac:dyDescent="0.3">
      <c r="A7" s="628">
        <v>0</v>
      </c>
      <c r="B7" s="628">
        <v>1620</v>
      </c>
      <c r="C7" s="629">
        <v>0</v>
      </c>
      <c r="D7" s="516">
        <f t="shared" ref="D7:D26" si="0" xml:space="preserve"> IF($H$11&gt;=A7,IF($H$11&lt;B7,C7,0),0)</f>
        <v>0</v>
      </c>
    </row>
    <row r="8" spans="1:11" x14ac:dyDescent="0.3">
      <c r="A8" s="628">
        <f>B7</f>
        <v>1620</v>
      </c>
      <c r="B8" s="628">
        <v>1683</v>
      </c>
      <c r="C8" s="628" t="s">
        <v>840</v>
      </c>
      <c r="D8" s="434">
        <f t="shared" si="0"/>
        <v>0</v>
      </c>
    </row>
    <row r="9" spans="1:11" x14ac:dyDescent="0.3">
      <c r="A9" s="628">
        <f>B8</f>
        <v>1683</v>
      </c>
      <c r="B9" s="628">
        <v>1791</v>
      </c>
      <c r="C9" s="628" t="s">
        <v>841</v>
      </c>
      <c r="D9" s="434">
        <f t="shared" si="0"/>
        <v>0</v>
      </c>
    </row>
    <row r="10" spans="1:11" x14ac:dyDescent="0.3">
      <c r="A10" s="628">
        <f>B9</f>
        <v>1791</v>
      </c>
      <c r="B10" s="628">
        <v>1911</v>
      </c>
      <c r="C10" s="628" t="s">
        <v>842</v>
      </c>
      <c r="D10" s="434">
        <f t="shared" si="0"/>
        <v>0</v>
      </c>
      <c r="G10" s="891" t="s">
        <v>203</v>
      </c>
      <c r="H10" s="891"/>
    </row>
    <row r="11" spans="1:11" x14ac:dyDescent="0.3">
      <c r="A11" s="628">
        <f>B10</f>
        <v>1911</v>
      </c>
      <c r="B11" s="628">
        <v>2042</v>
      </c>
      <c r="C11" s="628" t="s">
        <v>843</v>
      </c>
      <c r="D11" s="434">
        <f t="shared" si="0"/>
        <v>0</v>
      </c>
      <c r="G11" s="195" t="s">
        <v>102</v>
      </c>
      <c r="H11" s="196">
        <f>'[5]BP FORMAT JUILLET 2023'!D89</f>
        <v>1571.54</v>
      </c>
    </row>
    <row r="12" spans="1:11" x14ac:dyDescent="0.3">
      <c r="A12" s="628">
        <f>B11</f>
        <v>2042</v>
      </c>
      <c r="B12" s="628">
        <v>2151</v>
      </c>
      <c r="C12" s="628" t="s">
        <v>844</v>
      </c>
      <c r="D12" s="434">
        <f t="shared" si="0"/>
        <v>0</v>
      </c>
      <c r="G12" s="195" t="s">
        <v>103</v>
      </c>
      <c r="H12" s="197">
        <f>E27</f>
        <v>0</v>
      </c>
    </row>
    <row r="13" spans="1:11" x14ac:dyDescent="0.3">
      <c r="A13" s="628">
        <f t="shared" ref="A13:A24" si="1">B12</f>
        <v>2151</v>
      </c>
      <c r="B13" s="628">
        <v>2294</v>
      </c>
      <c r="C13" s="628" t="s">
        <v>845</v>
      </c>
      <c r="D13" s="434">
        <f t="shared" si="0"/>
        <v>0</v>
      </c>
    </row>
    <row r="14" spans="1:11" x14ac:dyDescent="0.3">
      <c r="A14" s="628">
        <f t="shared" si="1"/>
        <v>2294</v>
      </c>
      <c r="B14" s="628">
        <v>2714</v>
      </c>
      <c r="C14" s="628" t="s">
        <v>846</v>
      </c>
      <c r="D14" s="434">
        <f t="shared" si="0"/>
        <v>0</v>
      </c>
    </row>
    <row r="15" spans="1:11" x14ac:dyDescent="0.3">
      <c r="A15" s="628">
        <f t="shared" si="1"/>
        <v>2714</v>
      </c>
      <c r="B15" s="628">
        <v>3107</v>
      </c>
      <c r="C15" s="628" t="s">
        <v>847</v>
      </c>
      <c r="D15" s="434">
        <f t="shared" si="0"/>
        <v>0</v>
      </c>
    </row>
    <row r="16" spans="1:11" x14ac:dyDescent="0.3">
      <c r="A16" s="628">
        <f t="shared" si="1"/>
        <v>3107</v>
      </c>
      <c r="B16" s="628">
        <v>3539</v>
      </c>
      <c r="C16" s="628" t="s">
        <v>848</v>
      </c>
      <c r="D16" s="434">
        <f t="shared" si="0"/>
        <v>0</v>
      </c>
    </row>
    <row r="17" spans="1:4" x14ac:dyDescent="0.3">
      <c r="A17" s="628">
        <f t="shared" si="1"/>
        <v>3539</v>
      </c>
      <c r="B17" s="628">
        <v>3983</v>
      </c>
      <c r="C17" s="628" t="s">
        <v>849</v>
      </c>
      <c r="D17" s="434">
        <f t="shared" si="0"/>
        <v>0</v>
      </c>
    </row>
    <row r="18" spans="1:4" x14ac:dyDescent="0.3">
      <c r="A18" s="628">
        <f t="shared" si="1"/>
        <v>3983</v>
      </c>
      <c r="B18" s="628">
        <v>4648</v>
      </c>
      <c r="C18" s="628" t="s">
        <v>850</v>
      </c>
      <c r="D18" s="434">
        <f t="shared" si="0"/>
        <v>0</v>
      </c>
    </row>
    <row r="19" spans="1:4" x14ac:dyDescent="0.3">
      <c r="A19" s="628">
        <f t="shared" si="1"/>
        <v>4648</v>
      </c>
      <c r="B19" s="628">
        <v>5574</v>
      </c>
      <c r="C19" s="628" t="s">
        <v>851</v>
      </c>
      <c r="D19" s="434">
        <f t="shared" si="0"/>
        <v>0</v>
      </c>
    </row>
    <row r="20" spans="1:4" x14ac:dyDescent="0.3">
      <c r="A20" s="628">
        <f t="shared" si="1"/>
        <v>5574</v>
      </c>
      <c r="B20" s="628">
        <v>6974</v>
      </c>
      <c r="C20" s="628" t="s">
        <v>852</v>
      </c>
      <c r="D20" s="434">
        <f t="shared" si="0"/>
        <v>0</v>
      </c>
    </row>
    <row r="21" spans="1:4" x14ac:dyDescent="0.3">
      <c r="A21" s="628">
        <f t="shared" si="1"/>
        <v>6974</v>
      </c>
      <c r="B21" s="628">
        <v>8711</v>
      </c>
      <c r="C21" s="629">
        <v>0.2</v>
      </c>
      <c r="D21" s="434">
        <f t="shared" si="0"/>
        <v>0</v>
      </c>
    </row>
    <row r="22" spans="1:4" x14ac:dyDescent="0.3">
      <c r="A22" s="628">
        <f t="shared" si="1"/>
        <v>8711</v>
      </c>
      <c r="B22" s="628">
        <v>12091</v>
      </c>
      <c r="C22" s="629">
        <v>0.24</v>
      </c>
      <c r="D22" s="434">
        <f t="shared" si="0"/>
        <v>0</v>
      </c>
    </row>
    <row r="23" spans="1:4" x14ac:dyDescent="0.3">
      <c r="A23" s="628">
        <f t="shared" si="1"/>
        <v>12091</v>
      </c>
      <c r="B23" s="628">
        <v>16376</v>
      </c>
      <c r="C23" s="629">
        <v>0.28000000000000003</v>
      </c>
      <c r="D23" s="434">
        <f t="shared" si="0"/>
        <v>0</v>
      </c>
    </row>
    <row r="24" spans="1:4" x14ac:dyDescent="0.3">
      <c r="A24" s="628">
        <f t="shared" si="1"/>
        <v>16376</v>
      </c>
      <c r="B24" s="628">
        <v>25706</v>
      </c>
      <c r="C24" s="629">
        <v>0.33</v>
      </c>
      <c r="D24" s="434">
        <f t="shared" si="0"/>
        <v>0</v>
      </c>
    </row>
    <row r="25" spans="1:4" x14ac:dyDescent="0.3">
      <c r="A25" s="628">
        <f>B24</f>
        <v>25706</v>
      </c>
      <c r="B25" s="628">
        <v>55062</v>
      </c>
      <c r="C25" s="629">
        <v>0.38</v>
      </c>
      <c r="D25" s="434">
        <f t="shared" si="0"/>
        <v>0</v>
      </c>
    </row>
    <row r="26" spans="1:4" x14ac:dyDescent="0.3">
      <c r="A26" s="628">
        <f>B25</f>
        <v>55062</v>
      </c>
      <c r="B26" s="628"/>
      <c r="C26" s="629">
        <v>0.43</v>
      </c>
      <c r="D26" s="434">
        <f t="shared" si="0"/>
        <v>0</v>
      </c>
    </row>
    <row r="27" spans="1:4" x14ac:dyDescent="0.3">
      <c r="A27" s="630"/>
      <c r="B27" s="630"/>
      <c r="D27" s="194">
        <f>SUM(D7:D26)</f>
        <v>0</v>
      </c>
    </row>
    <row r="29" spans="1:4" x14ac:dyDescent="0.3">
      <c r="A29" s="631" t="s">
        <v>853</v>
      </c>
      <c r="B29" s="631"/>
    </row>
  </sheetData>
  <mergeCells count="2">
    <mergeCell ref="B1:H1"/>
    <mergeCell ref="G10:H10"/>
  </mergeCells>
  <pageMargins left="0.70866141732283472" right="0.70866141732283472" top="0.74803149606299213" bottom="0.74803149606299213" header="0.31496062992125984" footer="0.31496062992125984"/>
  <pageSetup paperSize="9" scale="80" orientation="landscape" horizontalDpi="4294967293" verticalDpi="0"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18" workbookViewId="0">
      <selection activeCell="C22" sqref="C22"/>
    </sheetView>
  </sheetViews>
  <sheetFormatPr baseColWidth="10" defaultRowHeight="14.4" x14ac:dyDescent="0.3"/>
  <cols>
    <col min="1" max="1" width="4.77734375" style="108" customWidth="1"/>
    <col min="2" max="2" width="13.33203125" customWidth="1"/>
    <col min="3" max="4" width="14.88671875" customWidth="1"/>
    <col min="5" max="5" width="14.77734375" customWidth="1"/>
    <col min="6" max="6" width="14.88671875" customWidth="1"/>
    <col min="7" max="7" width="16.33203125" customWidth="1"/>
  </cols>
  <sheetData>
    <row r="1" spans="1:11" ht="26.4" customHeight="1" x14ac:dyDescent="0.3">
      <c r="B1" s="977" t="s">
        <v>526</v>
      </c>
      <c r="C1" s="977"/>
      <c r="D1" s="977"/>
      <c r="E1" s="977"/>
      <c r="F1" s="977"/>
      <c r="G1" s="977"/>
    </row>
    <row r="2" spans="1:11" ht="26.4" customHeight="1" x14ac:dyDescent="0.3">
      <c r="B2" s="978"/>
      <c r="C2" s="978"/>
      <c r="D2" s="978"/>
      <c r="E2" s="978"/>
      <c r="F2" s="978"/>
      <c r="G2" s="978"/>
    </row>
    <row r="3" spans="1:11" ht="23.25" customHeight="1" x14ac:dyDescent="0.3">
      <c r="B3" s="871" t="s">
        <v>527</v>
      </c>
      <c r="C3" s="871"/>
      <c r="D3" s="979" t="s">
        <v>528</v>
      </c>
      <c r="E3" s="979"/>
      <c r="F3" s="979"/>
      <c r="G3" s="979"/>
    </row>
    <row r="4" spans="1:11" ht="26.4" customHeight="1" x14ac:dyDescent="0.3">
      <c r="B4" s="980" t="s">
        <v>417</v>
      </c>
      <c r="C4" s="981"/>
      <c r="D4" s="108"/>
      <c r="F4" s="108"/>
      <c r="G4" s="108"/>
    </row>
    <row r="5" spans="1:11" ht="39.6" x14ac:dyDescent="0.3">
      <c r="A5" s="45">
        <v>1</v>
      </c>
      <c r="B5" s="527" t="s">
        <v>540</v>
      </c>
      <c r="C5" s="463">
        <v>45748</v>
      </c>
      <c r="E5" s="871">
        <f>ROUND(1.4*11.88*151.67*3*50%/91.25,2)</f>
        <v>41.47</v>
      </c>
      <c r="F5" s="871" t="s">
        <v>529</v>
      </c>
      <c r="G5" s="871"/>
      <c r="I5" s="108"/>
      <c r="J5" s="108"/>
      <c r="K5" s="108"/>
    </row>
    <row r="6" spans="1:11" ht="41.25" customHeight="1" x14ac:dyDescent="0.3">
      <c r="A6" s="45">
        <v>2</v>
      </c>
      <c r="B6" s="462" t="s">
        <v>418</v>
      </c>
      <c r="C6" s="463">
        <v>45736</v>
      </c>
      <c r="D6" s="464"/>
      <c r="E6" s="871"/>
      <c r="F6" s="871"/>
      <c r="G6" s="871"/>
    </row>
    <row r="7" spans="1:11" ht="41.25" customHeight="1" x14ac:dyDescent="0.3">
      <c r="B7" s="462" t="s">
        <v>419</v>
      </c>
      <c r="C7" s="463">
        <v>45747</v>
      </c>
      <c r="D7" s="464"/>
      <c r="E7" s="528">
        <f>1.8*11.88*3*151.67*50%/91.25</f>
        <v>53.314705972602738</v>
      </c>
      <c r="F7" s="973" t="s">
        <v>530</v>
      </c>
      <c r="G7" s="973"/>
    </row>
    <row r="8" spans="1:11" ht="41.25" customHeight="1" x14ac:dyDescent="0.3">
      <c r="B8" s="45" t="s">
        <v>420</v>
      </c>
      <c r="C8" s="463">
        <v>45717</v>
      </c>
      <c r="D8" s="464"/>
      <c r="E8" s="464"/>
      <c r="F8" s="464"/>
      <c r="G8" s="108"/>
    </row>
    <row r="9" spans="1:11" ht="41.25" customHeight="1" x14ac:dyDescent="0.3">
      <c r="B9" s="45" t="s">
        <v>421</v>
      </c>
      <c r="C9" s="463">
        <v>45747</v>
      </c>
      <c r="D9" s="464"/>
      <c r="E9" s="464"/>
      <c r="F9" s="464"/>
      <c r="G9" s="108"/>
    </row>
    <row r="10" spans="1:11" ht="41.25" customHeight="1" x14ac:dyDescent="0.3">
      <c r="B10" s="45" t="s">
        <v>422</v>
      </c>
      <c r="C10" s="465"/>
      <c r="D10" s="464"/>
      <c r="E10" s="464"/>
      <c r="F10" s="464"/>
      <c r="G10" s="108"/>
    </row>
    <row r="11" spans="1:11" ht="39.75" customHeight="1" x14ac:dyDescent="0.3">
      <c r="B11" s="462" t="s">
        <v>423</v>
      </c>
      <c r="C11" s="45">
        <f>C7-C6+1</f>
        <v>12</v>
      </c>
      <c r="D11" s="108"/>
      <c r="E11" s="108"/>
      <c r="F11" s="108"/>
      <c r="G11" s="108"/>
    </row>
    <row r="12" spans="1:11" ht="39.75" customHeight="1" x14ac:dyDescent="0.3">
      <c r="B12" s="462" t="s">
        <v>424</v>
      </c>
      <c r="C12" s="45">
        <v>3</v>
      </c>
      <c r="D12" s="108"/>
      <c r="E12" s="108"/>
      <c r="F12" s="108"/>
      <c r="G12" s="108"/>
    </row>
    <row r="13" spans="1:11" ht="39.75" customHeight="1" x14ac:dyDescent="0.3">
      <c r="B13" s="462" t="s">
        <v>425</v>
      </c>
      <c r="C13" s="45">
        <f>C11-C12</f>
        <v>9</v>
      </c>
      <c r="D13" s="660"/>
      <c r="E13" s="747"/>
      <c r="F13" s="747"/>
      <c r="G13" s="108"/>
    </row>
    <row r="14" spans="1:11" ht="39.75" customHeight="1" x14ac:dyDescent="0.3">
      <c r="B14" s="462" t="s">
        <v>426</v>
      </c>
      <c r="C14" s="45">
        <f ca="1">SUMPRODUCT((WEEKDAY(ROW(INDIRECT(C$6&amp;":"&amp;C$7)))=7)*1)</f>
        <v>2</v>
      </c>
      <c r="D14" s="108"/>
      <c r="E14" s="108"/>
      <c r="F14" s="108"/>
      <c r="G14" s="108"/>
    </row>
    <row r="15" spans="1:11" ht="39.75" customHeight="1" x14ac:dyDescent="0.3">
      <c r="B15" s="462" t="s">
        <v>427</v>
      </c>
      <c r="C15" s="45">
        <f ca="1">C11-C14</f>
        <v>10</v>
      </c>
      <c r="D15" s="108"/>
      <c r="E15" s="108"/>
      <c r="F15" s="108"/>
      <c r="G15" s="108"/>
    </row>
    <row r="16" spans="1:11" ht="39.75" customHeight="1" x14ac:dyDescent="0.3">
      <c r="B16" s="462" t="s">
        <v>428</v>
      </c>
      <c r="C16" s="45">
        <f>NETWORKDAYS(C6,C7)</f>
        <v>8</v>
      </c>
      <c r="D16" s="108"/>
      <c r="E16" s="108"/>
      <c r="F16" s="108"/>
      <c r="G16" s="108"/>
    </row>
    <row r="17" spans="1:10" ht="39.75" customHeight="1" x14ac:dyDescent="0.3">
      <c r="B17" s="589"/>
      <c r="C17" s="108"/>
      <c r="D17" s="108"/>
      <c r="E17" s="108"/>
      <c r="F17" s="108"/>
      <c r="G17" s="108"/>
    </row>
    <row r="18" spans="1:10" ht="39.75" customHeight="1" x14ac:dyDescent="0.3">
      <c r="B18" s="589"/>
      <c r="C18" s="108"/>
      <c r="D18" s="108"/>
      <c r="E18" s="108"/>
      <c r="F18" s="108"/>
      <c r="G18" s="108"/>
    </row>
    <row r="19" spans="1:10" ht="39.75" customHeight="1" x14ac:dyDescent="0.3">
      <c r="B19" s="589"/>
      <c r="C19" s="108"/>
      <c r="D19" s="108"/>
      <c r="E19" s="108"/>
      <c r="F19" s="108"/>
      <c r="G19" s="108"/>
    </row>
    <row r="20" spans="1:10" ht="23.25" customHeight="1" x14ac:dyDescent="0.3">
      <c r="B20" s="108"/>
      <c r="C20" s="108"/>
      <c r="D20" s="466"/>
      <c r="E20" s="466"/>
      <c r="F20" s="466"/>
      <c r="G20" s="466"/>
    </row>
    <row r="21" spans="1:10" ht="23.25" customHeight="1" x14ac:dyDescent="0.3">
      <c r="B21" s="45" t="s">
        <v>429</v>
      </c>
      <c r="C21" s="529">
        <v>11.88</v>
      </c>
      <c r="D21" s="871" t="s">
        <v>531</v>
      </c>
      <c r="E21" s="871"/>
      <c r="F21" s="108"/>
      <c r="G21" s="108"/>
    </row>
    <row r="22" spans="1:10" ht="23.25" customHeight="1" x14ac:dyDescent="0.3">
      <c r="B22" s="488" t="s">
        <v>430</v>
      </c>
      <c r="C22" s="530">
        <v>11.88</v>
      </c>
      <c r="D22" s="974" t="s">
        <v>532</v>
      </c>
      <c r="E22" s="975"/>
      <c r="F22" s="467"/>
      <c r="G22" s="467"/>
    </row>
    <row r="23" spans="1:10" x14ac:dyDescent="0.3">
      <c r="B23" s="45" t="s">
        <v>226</v>
      </c>
      <c r="C23" s="57" t="s">
        <v>265</v>
      </c>
      <c r="D23" s="57" t="s">
        <v>266</v>
      </c>
      <c r="E23" s="57" t="s">
        <v>267</v>
      </c>
      <c r="F23" s="57" t="s">
        <v>268</v>
      </c>
      <c r="G23" s="57" t="s">
        <v>533</v>
      </c>
      <c r="J23" s="531"/>
    </row>
    <row r="24" spans="1:10" ht="38.25" customHeight="1" x14ac:dyDescent="0.3">
      <c r="B24" s="976" t="s">
        <v>534</v>
      </c>
      <c r="C24" s="976"/>
      <c r="D24" s="976"/>
      <c r="E24" s="976"/>
      <c r="F24" s="976"/>
      <c r="G24" s="976"/>
      <c r="J24" s="531"/>
    </row>
    <row r="25" spans="1:10" ht="31.2" customHeight="1" x14ac:dyDescent="0.3">
      <c r="A25" s="45">
        <v>10</v>
      </c>
      <c r="B25" s="468" t="s">
        <v>431</v>
      </c>
      <c r="C25" s="469" t="s">
        <v>432</v>
      </c>
      <c r="D25" s="469" t="s">
        <v>433</v>
      </c>
      <c r="E25" s="469" t="s">
        <v>434</v>
      </c>
      <c r="F25" s="469" t="s">
        <v>435</v>
      </c>
      <c r="G25" s="469" t="s">
        <v>436</v>
      </c>
    </row>
    <row r="26" spans="1:10" ht="48.6" customHeight="1" x14ac:dyDescent="0.3">
      <c r="A26" s="45">
        <v>11</v>
      </c>
      <c r="B26" s="470" t="s">
        <v>437</v>
      </c>
      <c r="C26" s="968" t="s">
        <v>438</v>
      </c>
      <c r="D26" s="969"/>
      <c r="E26" s="471" t="s">
        <v>439</v>
      </c>
      <c r="F26" s="532" t="s">
        <v>535</v>
      </c>
      <c r="G26" s="471" t="s">
        <v>440</v>
      </c>
    </row>
    <row r="27" spans="1:10" ht="38.25" customHeight="1" x14ac:dyDescent="0.3">
      <c r="A27" s="45">
        <v>12</v>
      </c>
      <c r="B27" s="533" t="s">
        <v>441</v>
      </c>
      <c r="C27" s="472" t="s">
        <v>536</v>
      </c>
      <c r="D27" s="534" t="s">
        <v>537</v>
      </c>
      <c r="E27" s="473">
        <v>2800</v>
      </c>
      <c r="F27" s="535">
        <f>IF(C7&lt;C5,(IF(B27="202N",1.8*C21*151.67,1.8*C22*151.67)),(IF(B27="202N",1.4*C21*151.67,1.4*C21*151.67)))</f>
        <v>3243.3112799999999</v>
      </c>
      <c r="G27" s="475">
        <f>MIN(F27,E27)</f>
        <v>2800</v>
      </c>
    </row>
    <row r="28" spans="1:10" ht="38.25" customHeight="1" x14ac:dyDescent="0.3">
      <c r="A28" s="45">
        <v>13</v>
      </c>
      <c r="B28" s="533" t="s">
        <v>470</v>
      </c>
      <c r="C28" s="472" t="s">
        <v>538</v>
      </c>
      <c r="D28" s="534" t="s">
        <v>108</v>
      </c>
      <c r="E28" s="473">
        <v>2500</v>
      </c>
      <c r="F28" s="474">
        <f>F27</f>
        <v>3243.3112799999999</v>
      </c>
      <c r="G28" s="475">
        <f>MIN(F28,E28)</f>
        <v>2500</v>
      </c>
    </row>
    <row r="29" spans="1:10" ht="38.25" customHeight="1" x14ac:dyDescent="0.3">
      <c r="A29" s="45">
        <v>14</v>
      </c>
      <c r="B29" s="533" t="s">
        <v>470</v>
      </c>
      <c r="C29" s="472" t="s">
        <v>442</v>
      </c>
      <c r="D29" s="534" t="s">
        <v>130</v>
      </c>
      <c r="E29" s="473">
        <v>3300</v>
      </c>
      <c r="F29" s="474">
        <f>F28</f>
        <v>3243.3112799999999</v>
      </c>
      <c r="G29" s="475">
        <f>MIN(F29,E29)</f>
        <v>3243.3112799999999</v>
      </c>
    </row>
    <row r="30" spans="1:10" ht="38.25" customHeight="1" x14ac:dyDescent="0.3">
      <c r="B30" s="476"/>
      <c r="C30" s="476"/>
      <c r="D30" s="477"/>
      <c r="E30" s="477"/>
      <c r="F30" s="478" t="s">
        <v>95</v>
      </c>
      <c r="G30" s="473">
        <f>SUM(G27:G29)</f>
        <v>8543.3112799999999</v>
      </c>
    </row>
    <row r="31" spans="1:10" ht="38.25" customHeight="1" x14ac:dyDescent="0.3">
      <c r="B31" s="476"/>
      <c r="C31" s="476"/>
      <c r="D31" s="467"/>
      <c r="E31" s="467"/>
      <c r="F31" s="472" t="s">
        <v>443</v>
      </c>
      <c r="G31" s="473">
        <f>ROUND(G30*0.5/91.25,6)</f>
        <v>46.812665000000003</v>
      </c>
    </row>
    <row r="32" spans="1:10" ht="38.25" customHeight="1" x14ac:dyDescent="0.3">
      <c r="B32" s="476"/>
      <c r="C32" s="476"/>
      <c r="D32" s="467"/>
      <c r="E32" s="467"/>
      <c r="F32" s="479" t="s">
        <v>444</v>
      </c>
      <c r="G32" s="480">
        <f>C13</f>
        <v>9</v>
      </c>
    </row>
    <row r="33" spans="2:9" ht="38.25" customHeight="1" x14ac:dyDescent="0.3">
      <c r="B33" s="476"/>
      <c r="C33" s="476"/>
      <c r="D33" s="467"/>
      <c r="E33" s="467"/>
      <c r="F33" s="472" t="s">
        <v>445</v>
      </c>
      <c r="G33" s="473">
        <f>ROUND(G31*G32,2)</f>
        <v>421.31</v>
      </c>
    </row>
    <row r="34" spans="2:9" ht="38.25" customHeight="1" x14ac:dyDescent="0.3">
      <c r="B34" s="476"/>
      <c r="C34" s="476"/>
      <c r="D34" s="467"/>
      <c r="E34" s="467"/>
      <c r="F34" s="472" t="s">
        <v>446</v>
      </c>
      <c r="G34" s="473">
        <f>ROUND(G33*0.933,2)</f>
        <v>393.08</v>
      </c>
    </row>
    <row r="35" spans="2:9" ht="38.25" customHeight="1" x14ac:dyDescent="0.3">
      <c r="B35" s="476"/>
      <c r="C35" s="476"/>
      <c r="D35" s="467"/>
      <c r="E35" s="467"/>
      <c r="F35" s="536" t="s">
        <v>447</v>
      </c>
      <c r="G35" s="473">
        <f>G33*2.9%</f>
        <v>12.217989999999999</v>
      </c>
      <c r="H35" s="660" t="s">
        <v>448</v>
      </c>
      <c r="I35" s="747"/>
    </row>
    <row r="36" spans="2:9" ht="38.25" customHeight="1" x14ac:dyDescent="0.3">
      <c r="F36" s="536" t="s">
        <v>449</v>
      </c>
      <c r="G36" s="473">
        <f>G33*3.8%</f>
        <v>16.009779999999999</v>
      </c>
      <c r="H36" s="660"/>
      <c r="I36" s="747"/>
    </row>
    <row r="37" spans="2:9" ht="105" customHeight="1" x14ac:dyDescent="0.3"/>
    <row r="38" spans="2:9" ht="33.75" customHeight="1" x14ac:dyDescent="0.3">
      <c r="B38" s="970" t="s">
        <v>450</v>
      </c>
      <c r="C38" s="971"/>
      <c r="D38" s="971"/>
      <c r="E38" s="971"/>
      <c r="F38" s="971"/>
      <c r="G38" s="972"/>
    </row>
    <row r="39" spans="2:9" ht="33" customHeight="1" x14ac:dyDescent="0.3">
      <c r="B39" s="537" t="s">
        <v>418</v>
      </c>
      <c r="C39" s="538">
        <f>C6</f>
        <v>45736</v>
      </c>
      <c r="D39" s="482"/>
      <c r="E39" s="482"/>
      <c r="F39" s="482"/>
      <c r="G39" s="52"/>
    </row>
    <row r="40" spans="2:9" ht="33" customHeight="1" x14ac:dyDescent="0.3">
      <c r="B40" s="143" t="s">
        <v>419</v>
      </c>
      <c r="C40" s="481">
        <f>C7</f>
        <v>45747</v>
      </c>
      <c r="D40" s="482"/>
      <c r="E40" s="482"/>
      <c r="F40" s="482"/>
      <c r="G40" s="7"/>
    </row>
    <row r="41" spans="2:9" ht="33" customHeight="1" x14ac:dyDescent="0.3">
      <c r="B41" s="143" t="s">
        <v>420</v>
      </c>
      <c r="C41" s="481">
        <f>C8</f>
        <v>45717</v>
      </c>
      <c r="D41" s="464"/>
      <c r="E41" s="464"/>
      <c r="F41" s="464"/>
      <c r="G41" s="108"/>
    </row>
    <row r="42" spans="2:9" ht="33" customHeight="1" x14ac:dyDescent="0.3">
      <c r="B42" s="143" t="s">
        <v>421</v>
      </c>
      <c r="C42" s="481">
        <f>C9</f>
        <v>45747</v>
      </c>
      <c r="D42" s="464"/>
      <c r="E42" s="464"/>
      <c r="F42" s="464"/>
      <c r="G42" s="108"/>
    </row>
    <row r="43" spans="2:9" ht="33" customHeight="1" x14ac:dyDescent="0.3">
      <c r="B43" s="143" t="s">
        <v>451</v>
      </c>
      <c r="C43" s="483">
        <f>C10</f>
        <v>0</v>
      </c>
      <c r="D43" s="108"/>
      <c r="E43" s="108"/>
      <c r="F43" s="108"/>
      <c r="G43" s="108"/>
    </row>
    <row r="44" spans="2:9" ht="33.75" customHeight="1" x14ac:dyDescent="0.3">
      <c r="B44" s="484" t="s">
        <v>423</v>
      </c>
      <c r="C44" s="484">
        <f>C40-C39+1</f>
        <v>12</v>
      </c>
      <c r="D44" s="108"/>
      <c r="E44" s="108"/>
      <c r="F44" s="108"/>
      <c r="G44" s="108"/>
    </row>
    <row r="45" spans="2:9" ht="33.75" customHeight="1" x14ac:dyDescent="0.3">
      <c r="B45" s="485" t="s">
        <v>452</v>
      </c>
      <c r="C45" s="485">
        <f ca="1">SUMPRODUCT((WEEKDAY(ROW(INDIRECT(C$39&amp;":"&amp;C$40)))=7)*1)</f>
        <v>2</v>
      </c>
      <c r="D45" s="108"/>
      <c r="E45" s="108"/>
      <c r="F45" s="108"/>
      <c r="G45" s="108"/>
    </row>
    <row r="46" spans="2:9" ht="33.75" customHeight="1" x14ac:dyDescent="0.3">
      <c r="B46" s="484" t="s">
        <v>453</v>
      </c>
      <c r="C46" s="484">
        <f>NETWORKDAYS(C39,C40)</f>
        <v>8</v>
      </c>
      <c r="D46" s="108"/>
      <c r="E46" s="108"/>
      <c r="F46" s="108"/>
      <c r="G46" s="108"/>
    </row>
    <row r="47" spans="2:9" ht="57" customHeight="1" x14ac:dyDescent="0.3">
      <c r="B47" s="484" t="s">
        <v>454</v>
      </c>
      <c r="C47" s="484">
        <f ca="1">C44-C45</f>
        <v>10</v>
      </c>
      <c r="D47" s="108"/>
      <c r="E47" s="108"/>
      <c r="F47" s="108"/>
      <c r="G47" s="108"/>
    </row>
    <row r="48" spans="2:9" ht="50.4" customHeight="1" x14ac:dyDescent="0.3">
      <c r="B48" s="486" t="s">
        <v>455</v>
      </c>
      <c r="C48" s="486"/>
      <c r="D48" s="52"/>
      <c r="E48" s="52"/>
      <c r="F48" s="52"/>
      <c r="G48" s="52"/>
    </row>
    <row r="49" spans="2:7" ht="48" customHeight="1" x14ac:dyDescent="0.3">
      <c r="B49" s="486" t="s">
        <v>456</v>
      </c>
      <c r="C49" s="486"/>
      <c r="D49" s="52"/>
      <c r="E49" s="52"/>
      <c r="F49" s="52"/>
      <c r="G49" s="52"/>
    </row>
    <row r="50" spans="2:7" ht="45.6" customHeight="1" x14ac:dyDescent="0.3">
      <c r="B50" s="487" t="s">
        <v>457</v>
      </c>
      <c r="C50" s="484">
        <v>147</v>
      </c>
      <c r="D50" s="108"/>
      <c r="E50" s="108"/>
      <c r="F50" s="108"/>
      <c r="G50" s="108"/>
    </row>
    <row r="51" spans="2:7" ht="44.4" customHeight="1" x14ac:dyDescent="0.3">
      <c r="B51" s="485" t="s">
        <v>458</v>
      </c>
      <c r="C51" s="485">
        <f>NETWORKDAYS(C41,C42)</f>
        <v>21</v>
      </c>
      <c r="D51" s="108"/>
      <c r="E51" s="108"/>
      <c r="F51" s="108"/>
      <c r="G51" s="108"/>
    </row>
    <row r="52" spans="2:7" ht="38.25" customHeight="1" x14ac:dyDescent="0.3">
      <c r="B52" s="484" t="s">
        <v>459</v>
      </c>
      <c r="C52" s="484">
        <f>ROUND(C43*C46/C51,2)</f>
        <v>0</v>
      </c>
      <c r="D52" s="108"/>
      <c r="E52" s="108"/>
      <c r="F52" s="108"/>
      <c r="G52" s="108"/>
    </row>
    <row r="53" spans="2:7" ht="28.5" customHeight="1" x14ac:dyDescent="0.3">
      <c r="B53" s="484" t="s">
        <v>460</v>
      </c>
      <c r="C53" s="484">
        <f>ROUND(C43*C46/22,2)</f>
        <v>0</v>
      </c>
      <c r="D53" s="108"/>
      <c r="E53" s="108"/>
      <c r="F53" s="108"/>
      <c r="G53" s="108"/>
    </row>
    <row r="54" spans="2:7" ht="41.25" customHeight="1" x14ac:dyDescent="0.3">
      <c r="B54" s="484" t="s">
        <v>461</v>
      </c>
      <c r="C54" s="484">
        <f>ROUND(C43*C46/21.67,2)</f>
        <v>0</v>
      </c>
      <c r="D54" s="108"/>
      <c r="E54" s="108"/>
      <c r="F54" s="108"/>
      <c r="G54" s="108"/>
    </row>
    <row r="55" spans="2:7" ht="36" customHeight="1" x14ac:dyDescent="0.3">
      <c r="B55" s="485" t="s">
        <v>462</v>
      </c>
      <c r="C55" s="485">
        <f>C42-C41+1</f>
        <v>31</v>
      </c>
      <c r="D55" s="108"/>
      <c r="E55" s="108"/>
      <c r="F55" s="108"/>
      <c r="G55" s="108"/>
    </row>
    <row r="56" spans="2:7" ht="39" customHeight="1" x14ac:dyDescent="0.3">
      <c r="B56" s="484" t="s">
        <v>463</v>
      </c>
      <c r="C56" s="484">
        <f>ROUND(C43*C44/C55,2)</f>
        <v>0</v>
      </c>
      <c r="D56" s="108"/>
      <c r="E56" s="108"/>
      <c r="F56" s="108"/>
      <c r="G56" s="108"/>
    </row>
    <row r="57" spans="2:7" ht="42.6" customHeight="1" x14ac:dyDescent="0.3">
      <c r="B57" s="484" t="s">
        <v>464</v>
      </c>
      <c r="C57" s="484">
        <f>ROUND(C43*C44/30,2)</f>
        <v>0</v>
      </c>
      <c r="D57" s="108"/>
      <c r="E57" s="108"/>
      <c r="F57" s="108"/>
      <c r="G57" s="108"/>
    </row>
    <row r="58" spans="2:7" ht="36" customHeight="1" x14ac:dyDescent="0.3">
      <c r="B58" s="485" t="s">
        <v>465</v>
      </c>
      <c r="C58" s="485">
        <f ca="1">SUMPRODUCT((WEEKDAY(ROW(INDIRECT($C41&amp;":"&amp;$C42)))=7)*1)</f>
        <v>5</v>
      </c>
      <c r="D58" s="108"/>
      <c r="E58" s="108"/>
      <c r="F58" s="108"/>
      <c r="G58" s="108"/>
    </row>
    <row r="59" spans="2:7" ht="36" customHeight="1" x14ac:dyDescent="0.3">
      <c r="B59" s="485" t="s">
        <v>466</v>
      </c>
      <c r="C59" s="485">
        <f ca="1">C55-C58</f>
        <v>26</v>
      </c>
      <c r="D59" s="108"/>
      <c r="E59" s="108"/>
      <c r="F59" s="108"/>
      <c r="G59" s="108"/>
    </row>
    <row r="60" spans="2:7" ht="39.75" customHeight="1" x14ac:dyDescent="0.3">
      <c r="B60" s="484" t="s">
        <v>467</v>
      </c>
      <c r="C60" s="484">
        <f ca="1">ROUND(C43*C47/C59,2)</f>
        <v>0</v>
      </c>
      <c r="D60" s="108"/>
      <c r="E60" s="108"/>
      <c r="F60" s="108"/>
      <c r="G60" s="108"/>
    </row>
    <row r="61" spans="2:7" ht="39.75" customHeight="1" x14ac:dyDescent="0.3">
      <c r="B61" s="484" t="s">
        <v>468</v>
      </c>
      <c r="C61" s="484">
        <f ca="1">ROUND(C43*C47/26,2)</f>
        <v>0</v>
      </c>
      <c r="D61" s="108"/>
      <c r="E61" s="108"/>
      <c r="F61" s="108"/>
      <c r="G61" s="108"/>
    </row>
  </sheetData>
  <mergeCells count="15">
    <mergeCell ref="B1:G1"/>
    <mergeCell ref="B2:G2"/>
    <mergeCell ref="D3:G3"/>
    <mergeCell ref="B4:C4"/>
    <mergeCell ref="E5:E6"/>
    <mergeCell ref="F5:G6"/>
    <mergeCell ref="B3:C3"/>
    <mergeCell ref="C26:D26"/>
    <mergeCell ref="H35:I36"/>
    <mergeCell ref="B38:G38"/>
    <mergeCell ref="F7:G7"/>
    <mergeCell ref="D13:F13"/>
    <mergeCell ref="D21:E21"/>
    <mergeCell ref="D22:E22"/>
    <mergeCell ref="B24:G24"/>
  </mergeCells>
  <phoneticPr fontId="80" type="noConversion"/>
  <pageMargins left="0.70866141732283472" right="0.70866141732283472" top="0" bottom="0" header="0.31496062992125984" footer="0.31496062992125984"/>
  <pageSetup paperSize="9" scale="80" orientation="landscape" horizontalDpi="4294967293"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J63"/>
  <sheetViews>
    <sheetView topLeftCell="A21" workbookViewId="0">
      <selection activeCell="G28" sqref="G28"/>
    </sheetView>
  </sheetViews>
  <sheetFormatPr baseColWidth="10" defaultRowHeight="14.4" x14ac:dyDescent="0.3"/>
  <cols>
    <col min="1" max="1" width="7" style="108" customWidth="1"/>
    <col min="2" max="2" width="23.33203125" customWidth="1"/>
    <col min="3" max="4" width="14.88671875" customWidth="1"/>
    <col min="5" max="5" width="15.77734375" customWidth="1"/>
    <col min="6" max="6" width="14.88671875" customWidth="1"/>
    <col min="7" max="7" width="16.33203125" customWidth="1"/>
  </cols>
  <sheetData>
    <row r="1" spans="2:7" ht="26.4" customHeight="1" x14ac:dyDescent="0.3">
      <c r="B1" s="985" t="s">
        <v>774</v>
      </c>
      <c r="C1" s="985"/>
      <c r="D1" s="985"/>
      <c r="E1" s="985"/>
      <c r="F1" s="985"/>
      <c r="G1" s="985"/>
    </row>
    <row r="2" spans="2:7" ht="26.4" customHeight="1" x14ac:dyDescent="0.3">
      <c r="B2" s="978" t="s">
        <v>775</v>
      </c>
      <c r="C2" s="978"/>
      <c r="D2" s="978"/>
      <c r="E2" s="978"/>
      <c r="F2" s="978"/>
      <c r="G2" s="978"/>
    </row>
    <row r="3" spans="2:7" ht="23.25" customHeight="1" x14ac:dyDescent="0.3">
      <c r="B3" s="871" t="s">
        <v>527</v>
      </c>
      <c r="C3" s="871"/>
      <c r="D3" s="979" t="s">
        <v>528</v>
      </c>
      <c r="E3" s="979"/>
      <c r="F3" s="979"/>
      <c r="G3" s="979"/>
    </row>
    <row r="4" spans="2:7" ht="26.4" customHeight="1" x14ac:dyDescent="0.3">
      <c r="B4" s="980" t="s">
        <v>417</v>
      </c>
      <c r="C4" s="981"/>
      <c r="D4" s="108"/>
      <c r="F4" s="108"/>
      <c r="G4" s="108"/>
    </row>
    <row r="5" spans="2:7" ht="28.2" customHeight="1" x14ac:dyDescent="0.3">
      <c r="B5" s="462" t="s">
        <v>776</v>
      </c>
      <c r="C5" s="463">
        <v>45748</v>
      </c>
      <c r="E5" s="661">
        <f>ROUND(1.4*11.88*151.67*3*50%/91.25,2)</f>
        <v>41.47</v>
      </c>
      <c r="F5" s="871" t="s">
        <v>529</v>
      </c>
      <c r="G5" s="871"/>
    </row>
    <row r="6" spans="2:7" ht="41.25" customHeight="1" x14ac:dyDescent="0.3">
      <c r="B6" s="462" t="s">
        <v>418</v>
      </c>
      <c r="C6" s="463">
        <v>45757</v>
      </c>
      <c r="D6" s="464"/>
      <c r="E6" s="661"/>
      <c r="F6" s="871"/>
      <c r="G6" s="871"/>
    </row>
    <row r="7" spans="2:7" ht="41.25" customHeight="1" x14ac:dyDescent="0.3">
      <c r="B7" s="462" t="s">
        <v>419</v>
      </c>
      <c r="C7" s="463">
        <v>45802</v>
      </c>
      <c r="D7" s="464"/>
      <c r="E7" s="464"/>
      <c r="F7" s="464"/>
      <c r="G7" s="464"/>
    </row>
    <row r="8" spans="2:7" ht="41.25" customHeight="1" x14ac:dyDescent="0.3">
      <c r="B8" s="45" t="s">
        <v>420</v>
      </c>
      <c r="C8" s="463">
        <v>45748</v>
      </c>
      <c r="D8" s="464"/>
      <c r="E8" s="464"/>
      <c r="F8" s="464"/>
      <c r="G8" s="108"/>
    </row>
    <row r="9" spans="2:7" ht="41.25" customHeight="1" x14ac:dyDescent="0.3">
      <c r="B9" s="45" t="s">
        <v>421</v>
      </c>
      <c r="C9" s="463" t="s">
        <v>777</v>
      </c>
      <c r="D9" s="464"/>
      <c r="E9" s="464"/>
      <c r="F9" s="464"/>
      <c r="G9" s="108"/>
    </row>
    <row r="10" spans="2:7" ht="41.25" customHeight="1" x14ac:dyDescent="0.3">
      <c r="B10" s="45" t="s">
        <v>422</v>
      </c>
      <c r="C10" s="465"/>
      <c r="D10" s="464"/>
      <c r="E10" s="464"/>
      <c r="F10" s="464"/>
      <c r="G10" s="108"/>
    </row>
    <row r="11" spans="2:7" ht="39.75" customHeight="1" x14ac:dyDescent="0.3">
      <c r="B11" s="462" t="s">
        <v>423</v>
      </c>
      <c r="C11" s="45">
        <f>C7-C6+1</f>
        <v>46</v>
      </c>
      <c r="D11" s="108"/>
      <c r="E11" s="108"/>
      <c r="F11" s="108"/>
      <c r="G11" s="108"/>
    </row>
    <row r="12" spans="2:7" ht="39.75" customHeight="1" x14ac:dyDescent="0.3">
      <c r="B12" s="462" t="s">
        <v>424</v>
      </c>
      <c r="C12" s="45">
        <v>3</v>
      </c>
      <c r="D12" s="108"/>
      <c r="E12" s="108"/>
      <c r="F12" s="108"/>
      <c r="G12" s="108"/>
    </row>
    <row r="13" spans="2:7" ht="39.75" customHeight="1" x14ac:dyDescent="0.3">
      <c r="B13" s="462" t="s">
        <v>425</v>
      </c>
      <c r="C13" s="45">
        <f>C11-C12</f>
        <v>43</v>
      </c>
      <c r="D13" s="660"/>
      <c r="E13" s="747"/>
      <c r="F13" s="747"/>
      <c r="G13" s="108"/>
    </row>
    <row r="14" spans="2:7" ht="39.75" customHeight="1" x14ac:dyDescent="0.3">
      <c r="B14" s="462" t="s">
        <v>426</v>
      </c>
      <c r="C14" s="45">
        <f ca="1">SUMPRODUCT((WEEKDAY(ROW(INDIRECT(C$6&amp;":"&amp;C$7)))=7)*1)</f>
        <v>7</v>
      </c>
      <c r="D14" s="108"/>
      <c r="E14" s="108"/>
      <c r="F14" s="108"/>
      <c r="G14" s="108"/>
    </row>
    <row r="15" spans="2:7" ht="39.75" customHeight="1" x14ac:dyDescent="0.3">
      <c r="B15" s="462" t="s">
        <v>427</v>
      </c>
      <c r="C15" s="45">
        <f ca="1">C11-C14</f>
        <v>39</v>
      </c>
      <c r="D15" s="108"/>
      <c r="E15" s="108"/>
      <c r="F15" s="108"/>
      <c r="G15" s="108"/>
    </row>
    <row r="16" spans="2:7" ht="39.75" customHeight="1" x14ac:dyDescent="0.3">
      <c r="B16" s="462" t="s">
        <v>428</v>
      </c>
      <c r="C16" s="45">
        <f>NETWORKDAYS(C6,C7)</f>
        <v>32</v>
      </c>
      <c r="D16" s="108"/>
      <c r="E16" s="108"/>
      <c r="F16" s="108"/>
      <c r="G16" s="108"/>
    </row>
    <row r="17" spans="2:10" ht="39.75" customHeight="1" x14ac:dyDescent="0.3">
      <c r="B17" s="589"/>
      <c r="C17" s="108"/>
      <c r="D17" s="108"/>
      <c r="E17" s="108"/>
      <c r="F17" s="108"/>
      <c r="G17" s="108"/>
    </row>
    <row r="18" spans="2:10" ht="39.75" customHeight="1" x14ac:dyDescent="0.3">
      <c r="B18" s="589"/>
      <c r="C18" s="108"/>
      <c r="D18" s="108"/>
      <c r="E18" s="108"/>
      <c r="F18" s="108"/>
      <c r="G18" s="108"/>
    </row>
    <row r="19" spans="2:10" ht="39.75" customHeight="1" x14ac:dyDescent="0.3">
      <c r="B19" s="589"/>
      <c r="C19" s="108"/>
      <c r="D19" s="108"/>
      <c r="E19" s="108"/>
      <c r="F19" s="108"/>
      <c r="G19" s="108"/>
    </row>
    <row r="20" spans="2:10" ht="39.75" customHeight="1" x14ac:dyDescent="0.3">
      <c r="B20" s="589"/>
      <c r="C20" s="108"/>
      <c r="D20" s="108"/>
      <c r="E20" s="108"/>
      <c r="F20" s="108"/>
      <c r="G20" s="108"/>
    </row>
    <row r="21" spans="2:10" ht="23.25" customHeight="1" x14ac:dyDescent="0.3">
      <c r="B21" s="45" t="s">
        <v>429</v>
      </c>
      <c r="C21" s="627">
        <v>11.88</v>
      </c>
      <c r="D21" s="871" t="s">
        <v>531</v>
      </c>
      <c r="E21" s="871"/>
      <c r="F21" s="108"/>
      <c r="G21" s="108"/>
    </row>
    <row r="22" spans="2:10" ht="23.25" customHeight="1" x14ac:dyDescent="0.3">
      <c r="B22" s="45" t="s">
        <v>430</v>
      </c>
      <c r="C22" s="551">
        <v>11.88</v>
      </c>
      <c r="D22" s="982" t="s">
        <v>532</v>
      </c>
      <c r="E22" s="983"/>
      <c r="F22" s="467"/>
      <c r="G22" s="467"/>
    </row>
    <row r="23" spans="2:10" x14ac:dyDescent="0.3">
      <c r="J23" s="531"/>
    </row>
    <row r="24" spans="2:10" ht="38.25" customHeight="1" x14ac:dyDescent="0.3">
      <c r="B24" s="984" t="s">
        <v>778</v>
      </c>
      <c r="C24" s="984"/>
      <c r="D24" s="984"/>
      <c r="E24" s="984"/>
      <c r="F24" s="984"/>
      <c r="G24" s="984"/>
      <c r="J24" s="531"/>
    </row>
    <row r="25" spans="2:10" x14ac:dyDescent="0.3">
      <c r="B25" s="468" t="s">
        <v>431</v>
      </c>
      <c r="C25" s="469" t="s">
        <v>432</v>
      </c>
      <c r="D25" s="469" t="s">
        <v>433</v>
      </c>
      <c r="E25" s="469" t="s">
        <v>434</v>
      </c>
      <c r="F25" s="469" t="s">
        <v>435</v>
      </c>
      <c r="G25" s="469" t="s">
        <v>436</v>
      </c>
    </row>
    <row r="26" spans="2:10" ht="48.6" customHeight="1" x14ac:dyDescent="0.3">
      <c r="B26" s="470" t="s">
        <v>437</v>
      </c>
      <c r="C26" s="968" t="s">
        <v>438</v>
      </c>
      <c r="D26" s="969"/>
      <c r="E26" s="471" t="s">
        <v>439</v>
      </c>
      <c r="F26" s="532" t="s">
        <v>535</v>
      </c>
      <c r="G26" s="471" t="s">
        <v>440</v>
      </c>
    </row>
    <row r="27" spans="2:10" ht="38.25" customHeight="1" x14ac:dyDescent="0.3">
      <c r="B27" s="581" t="s">
        <v>470</v>
      </c>
      <c r="C27" s="472" t="s">
        <v>779</v>
      </c>
      <c r="D27" s="582" t="s">
        <v>108</v>
      </c>
      <c r="E27" s="473">
        <v>2600</v>
      </c>
      <c r="F27" s="535">
        <f>IF(C7&lt;C5,(IF(B27="202N",1.8*C21*151.67,1.8*C22*151.67)),(IF(B27="202N",1.4*C21*151.67,1.4*C21*151.67)))</f>
        <v>2522.5754400000001</v>
      </c>
      <c r="G27" s="475">
        <f>MIN(F27,E27)</f>
        <v>2522.5754400000001</v>
      </c>
    </row>
    <row r="28" spans="2:10" ht="38.25" customHeight="1" x14ac:dyDescent="0.3">
      <c r="B28" s="581" t="s">
        <v>470</v>
      </c>
      <c r="C28" s="472" t="s">
        <v>780</v>
      </c>
      <c r="D28" s="582" t="s">
        <v>130</v>
      </c>
      <c r="E28" s="473">
        <v>2200</v>
      </c>
      <c r="F28" s="474">
        <f>F27</f>
        <v>2522.5754400000001</v>
      </c>
      <c r="G28" s="475">
        <f>MIN(F28,E28)</f>
        <v>2200</v>
      </c>
    </row>
    <row r="29" spans="2:10" ht="38.25" customHeight="1" x14ac:dyDescent="0.3">
      <c r="B29" s="581" t="s">
        <v>470</v>
      </c>
      <c r="C29" s="472" t="s">
        <v>442</v>
      </c>
      <c r="D29" s="582" t="s">
        <v>781</v>
      </c>
      <c r="E29" s="473">
        <v>2200</v>
      </c>
      <c r="F29" s="474">
        <f>F28</f>
        <v>2522.5754400000001</v>
      </c>
      <c r="G29" s="475">
        <f>MIN(F29,E29)</f>
        <v>2200</v>
      </c>
    </row>
    <row r="30" spans="2:10" ht="38.25" customHeight="1" x14ac:dyDescent="0.3">
      <c r="B30" s="476"/>
      <c r="C30" s="476"/>
      <c r="D30" s="477"/>
      <c r="E30" s="477"/>
      <c r="F30" s="478" t="s">
        <v>95</v>
      </c>
      <c r="G30" s="473">
        <f>SUM(G27:G29)</f>
        <v>6922.5754400000005</v>
      </c>
    </row>
    <row r="31" spans="2:10" ht="38.25" customHeight="1" x14ac:dyDescent="0.3">
      <c r="B31" s="476"/>
      <c r="C31" s="476"/>
      <c r="D31" s="467"/>
      <c r="E31" s="467"/>
      <c r="F31" s="472" t="s">
        <v>443</v>
      </c>
      <c r="G31" s="473">
        <f>ROUND(G30*0.5/91.25,6)</f>
        <v>37.931919999999998</v>
      </c>
    </row>
    <row r="32" spans="2:10" ht="38.25" customHeight="1" x14ac:dyDescent="0.3">
      <c r="B32" s="476"/>
      <c r="C32" s="476"/>
      <c r="D32" s="467"/>
      <c r="E32" s="467"/>
      <c r="F32" s="479" t="s">
        <v>444</v>
      </c>
      <c r="G32" s="480">
        <f>C13</f>
        <v>43</v>
      </c>
    </row>
    <row r="33" spans="2:9" ht="38.25" customHeight="1" x14ac:dyDescent="0.3">
      <c r="B33" s="476"/>
      <c r="C33" s="476"/>
      <c r="D33" s="467"/>
      <c r="E33" s="467"/>
      <c r="F33" s="472" t="s">
        <v>445</v>
      </c>
      <c r="G33" s="473">
        <f>ROUND(G31*G32,2)</f>
        <v>1631.07</v>
      </c>
    </row>
    <row r="34" spans="2:9" ht="38.25" customHeight="1" x14ac:dyDescent="0.3">
      <c r="B34" s="476"/>
      <c r="C34" s="476"/>
      <c r="D34" s="467"/>
      <c r="E34" s="467"/>
      <c r="F34" s="472" t="s">
        <v>446</v>
      </c>
      <c r="G34" s="473">
        <f>ROUND(G33*0.933,2)</f>
        <v>1521.79</v>
      </c>
    </row>
    <row r="35" spans="2:9" ht="38.25" customHeight="1" x14ac:dyDescent="0.3">
      <c r="B35" s="476"/>
      <c r="C35" s="476"/>
      <c r="D35" s="467"/>
      <c r="E35" s="467"/>
      <c r="F35" s="536" t="s">
        <v>447</v>
      </c>
      <c r="G35" s="473">
        <f>G33*2.9%</f>
        <v>47.301029999999997</v>
      </c>
      <c r="H35" s="660" t="s">
        <v>448</v>
      </c>
      <c r="I35" s="747"/>
    </row>
    <row r="36" spans="2:9" ht="38.25" customHeight="1" x14ac:dyDescent="0.3">
      <c r="F36" s="536" t="s">
        <v>449</v>
      </c>
      <c r="G36" s="473">
        <f>G33*3.8%</f>
        <v>61.980659999999993</v>
      </c>
      <c r="H36" s="660"/>
      <c r="I36" s="747"/>
    </row>
    <row r="37" spans="2:9" ht="38.25" customHeight="1" x14ac:dyDescent="0.3">
      <c r="F37" s="625"/>
      <c r="G37" s="626"/>
      <c r="H37" s="108"/>
      <c r="I37" s="108"/>
    </row>
    <row r="38" spans="2:9" ht="38.25" customHeight="1" x14ac:dyDescent="0.3">
      <c r="F38" s="625"/>
      <c r="G38" s="626"/>
      <c r="H38" s="108"/>
      <c r="I38" s="108"/>
    </row>
    <row r="39" spans="2:9" ht="42.6" customHeight="1" x14ac:dyDescent="0.3"/>
    <row r="40" spans="2:9" ht="33.75" customHeight="1" x14ac:dyDescent="0.3">
      <c r="B40" s="970" t="s">
        <v>450</v>
      </c>
      <c r="C40" s="971"/>
      <c r="D40" s="971"/>
      <c r="E40" s="971"/>
      <c r="F40" s="971"/>
      <c r="G40" s="972"/>
    </row>
    <row r="41" spans="2:9" ht="33" customHeight="1" x14ac:dyDescent="0.3">
      <c r="B41" s="537" t="s">
        <v>418</v>
      </c>
      <c r="C41" s="538">
        <f>C6</f>
        <v>45757</v>
      </c>
      <c r="D41" s="482"/>
      <c r="E41" s="482"/>
      <c r="F41" s="482"/>
      <c r="G41" s="52"/>
    </row>
    <row r="42" spans="2:9" ht="33" customHeight="1" x14ac:dyDescent="0.3">
      <c r="B42" s="143" t="s">
        <v>419</v>
      </c>
      <c r="C42" s="481">
        <f>C7</f>
        <v>45802</v>
      </c>
      <c r="D42" s="482"/>
      <c r="E42" s="482"/>
      <c r="F42" s="482"/>
      <c r="G42" s="7"/>
    </row>
    <row r="43" spans="2:9" ht="33" customHeight="1" x14ac:dyDescent="0.3">
      <c r="B43" s="143" t="s">
        <v>420</v>
      </c>
      <c r="C43" s="481">
        <f>C8</f>
        <v>45748</v>
      </c>
      <c r="D43" s="464"/>
      <c r="E43" s="464"/>
      <c r="F43" s="464"/>
      <c r="G43" s="108"/>
    </row>
    <row r="44" spans="2:9" ht="33" customHeight="1" x14ac:dyDescent="0.3">
      <c r="B44" s="143" t="s">
        <v>421</v>
      </c>
      <c r="C44" s="481" t="str">
        <f>C9</f>
        <v>31/04/2025</v>
      </c>
      <c r="D44" s="464"/>
      <c r="E44" s="464"/>
      <c r="F44" s="464"/>
      <c r="G44" s="108"/>
    </row>
    <row r="45" spans="2:9" ht="33" customHeight="1" x14ac:dyDescent="0.3">
      <c r="B45" s="143" t="s">
        <v>451</v>
      </c>
      <c r="C45" s="483">
        <f>C10</f>
        <v>0</v>
      </c>
      <c r="D45" s="108"/>
      <c r="E45" s="108"/>
      <c r="F45" s="108"/>
      <c r="G45" s="108"/>
    </row>
    <row r="46" spans="2:9" ht="33.75" customHeight="1" x14ac:dyDescent="0.3">
      <c r="B46" s="484" t="s">
        <v>423</v>
      </c>
      <c r="C46" s="484">
        <f>C42-C41+1</f>
        <v>46</v>
      </c>
      <c r="D46" s="108"/>
      <c r="E46" s="108"/>
      <c r="F46" s="108"/>
      <c r="G46" s="108"/>
    </row>
    <row r="47" spans="2:9" ht="33.75" customHeight="1" x14ac:dyDescent="0.3">
      <c r="B47" s="485" t="s">
        <v>452</v>
      </c>
      <c r="C47" s="485">
        <f ca="1">SUMPRODUCT((WEEKDAY(ROW(INDIRECT(C$41&amp;":"&amp;C$42)))=7)*1)</f>
        <v>7</v>
      </c>
      <c r="D47" s="108"/>
      <c r="E47" s="108"/>
      <c r="F47" s="108"/>
      <c r="G47" s="108"/>
    </row>
    <row r="48" spans="2:9" ht="33.75" customHeight="1" x14ac:dyDescent="0.3">
      <c r="B48" s="484" t="s">
        <v>453</v>
      </c>
      <c r="C48" s="484">
        <f>NETWORKDAYS(C41,C42)</f>
        <v>32</v>
      </c>
      <c r="D48" s="108"/>
      <c r="E48" s="108"/>
      <c r="F48" s="108"/>
      <c r="G48" s="108"/>
    </row>
    <row r="49" spans="2:7" ht="33.75" customHeight="1" x14ac:dyDescent="0.3">
      <c r="B49" s="484" t="s">
        <v>454</v>
      </c>
      <c r="C49" s="484">
        <f ca="1">C46-C47</f>
        <v>39</v>
      </c>
      <c r="D49" s="108"/>
      <c r="E49" s="108"/>
      <c r="F49" s="108"/>
      <c r="G49" s="108"/>
    </row>
    <row r="50" spans="2:7" ht="33.75" customHeight="1" x14ac:dyDescent="0.3">
      <c r="B50" s="486" t="s">
        <v>455</v>
      </c>
      <c r="C50" s="486"/>
      <c r="D50" s="52"/>
      <c r="E50" s="52"/>
      <c r="F50" s="52"/>
      <c r="G50" s="52"/>
    </row>
    <row r="51" spans="2:7" ht="35.25" customHeight="1" x14ac:dyDescent="0.3">
      <c r="B51" s="486" t="s">
        <v>456</v>
      </c>
      <c r="C51" s="486"/>
      <c r="D51" s="52"/>
      <c r="E51" s="52"/>
      <c r="F51" s="52"/>
      <c r="G51" s="52"/>
    </row>
    <row r="52" spans="2:7" ht="38.25" customHeight="1" x14ac:dyDescent="0.3">
      <c r="B52" s="487" t="s">
        <v>457</v>
      </c>
      <c r="C52" s="484">
        <v>147</v>
      </c>
      <c r="D52" s="108"/>
      <c r="E52" s="108"/>
      <c r="F52" s="108"/>
      <c r="G52" s="108"/>
    </row>
    <row r="53" spans="2:7" ht="28.5" customHeight="1" x14ac:dyDescent="0.3">
      <c r="B53" s="485" t="s">
        <v>458</v>
      </c>
      <c r="C53" s="485" t="e">
        <f>NETWORKDAYS(C43,C44)</f>
        <v>#VALUE!</v>
      </c>
      <c r="D53" s="108"/>
      <c r="E53" s="108"/>
      <c r="F53" s="108"/>
      <c r="G53" s="108"/>
    </row>
    <row r="54" spans="2:7" ht="41.25" customHeight="1" x14ac:dyDescent="0.3">
      <c r="B54" s="484" t="s">
        <v>459</v>
      </c>
      <c r="C54" s="484" t="e">
        <f>ROUND(C45*C48/C53,2)</f>
        <v>#VALUE!</v>
      </c>
      <c r="D54" s="108"/>
      <c r="E54" s="108"/>
      <c r="F54" s="108"/>
      <c r="G54" s="108"/>
    </row>
    <row r="55" spans="2:7" ht="36" customHeight="1" x14ac:dyDescent="0.3">
      <c r="B55" s="484" t="s">
        <v>460</v>
      </c>
      <c r="C55" s="484">
        <f>ROUND(C45*C48/22,2)</f>
        <v>0</v>
      </c>
      <c r="D55" s="108"/>
      <c r="E55" s="108"/>
      <c r="F55" s="108"/>
      <c r="G55" s="108"/>
    </row>
    <row r="56" spans="2:7" ht="39" customHeight="1" x14ac:dyDescent="0.3">
      <c r="B56" s="484" t="s">
        <v>461</v>
      </c>
      <c r="C56" s="484">
        <f>ROUND(C45*C48/21.67,2)</f>
        <v>0</v>
      </c>
      <c r="D56" s="108"/>
      <c r="E56" s="108"/>
      <c r="F56" s="108"/>
      <c r="G56" s="108"/>
    </row>
    <row r="57" spans="2:7" ht="35.25" customHeight="1" x14ac:dyDescent="0.3">
      <c r="B57" s="485" t="s">
        <v>462</v>
      </c>
      <c r="C57" s="485" t="e">
        <f>C44-C43+1</f>
        <v>#VALUE!</v>
      </c>
      <c r="D57" s="108"/>
      <c r="E57" s="108"/>
      <c r="F57" s="108"/>
      <c r="G57" s="108"/>
    </row>
    <row r="58" spans="2:7" ht="36" customHeight="1" x14ac:dyDescent="0.3">
      <c r="B58" s="484" t="s">
        <v>463</v>
      </c>
      <c r="C58" s="484" t="e">
        <f>ROUND(C45*C46/C57,2)</f>
        <v>#VALUE!</v>
      </c>
      <c r="D58" s="108"/>
      <c r="E58" s="108"/>
      <c r="F58" s="108"/>
      <c r="G58" s="108"/>
    </row>
    <row r="59" spans="2:7" ht="36" customHeight="1" x14ac:dyDescent="0.3">
      <c r="B59" s="484" t="s">
        <v>464</v>
      </c>
      <c r="C59" s="484">
        <f>ROUND(C45*C46/30,2)</f>
        <v>0</v>
      </c>
      <c r="D59" s="108"/>
      <c r="E59" s="108"/>
      <c r="F59" s="108"/>
      <c r="G59" s="108"/>
    </row>
    <row r="60" spans="2:7" ht="39.75" customHeight="1" x14ac:dyDescent="0.3">
      <c r="B60" s="485" t="s">
        <v>465</v>
      </c>
      <c r="C60" s="485" t="e">
        <f ca="1">SUMPRODUCT((WEEKDAY(ROW(INDIRECT($C43&amp;":"&amp;$C44)))=7)*1)</f>
        <v>#REF!</v>
      </c>
      <c r="D60" s="108"/>
      <c r="E60" s="108"/>
      <c r="F60" s="108"/>
      <c r="G60" s="108"/>
    </row>
    <row r="61" spans="2:7" ht="39.75" customHeight="1" x14ac:dyDescent="0.3">
      <c r="B61" s="485" t="s">
        <v>466</v>
      </c>
      <c r="C61" s="485" t="e">
        <f ca="1">C57-C60</f>
        <v>#VALUE!</v>
      </c>
      <c r="D61" s="108"/>
      <c r="E61" s="108"/>
      <c r="F61" s="108"/>
      <c r="G61" s="108"/>
    </row>
    <row r="62" spans="2:7" ht="51.75" customHeight="1" x14ac:dyDescent="0.3">
      <c r="B62" s="484" t="s">
        <v>467</v>
      </c>
      <c r="C62" s="484" t="e">
        <f ca="1">ROUND(C45*C49/C61,2)</f>
        <v>#VALUE!</v>
      </c>
      <c r="D62" s="108"/>
      <c r="E62" s="108"/>
      <c r="F62" s="108"/>
      <c r="G62" s="108"/>
    </row>
    <row r="63" spans="2:7" ht="51.75" customHeight="1" x14ac:dyDescent="0.3">
      <c r="B63" s="484" t="s">
        <v>468</v>
      </c>
      <c r="C63" s="484">
        <f ca="1">ROUND(C45*C49/26,2)</f>
        <v>0</v>
      </c>
      <c r="D63" s="108"/>
      <c r="E63" s="108"/>
      <c r="F63" s="108"/>
      <c r="G63" s="108"/>
    </row>
  </sheetData>
  <mergeCells count="14">
    <mergeCell ref="H35:I36"/>
    <mergeCell ref="B1:G1"/>
    <mergeCell ref="B2:G2"/>
    <mergeCell ref="B3:C3"/>
    <mergeCell ref="D3:G3"/>
    <mergeCell ref="B4:C4"/>
    <mergeCell ref="E5:E6"/>
    <mergeCell ref="F5:G6"/>
    <mergeCell ref="B40:G40"/>
    <mergeCell ref="D13:F13"/>
    <mergeCell ref="D21:E21"/>
    <mergeCell ref="D22:E22"/>
    <mergeCell ref="B24:G24"/>
    <mergeCell ref="C26:D26"/>
  </mergeCells>
  <pageMargins left="0.7" right="0.7" top="0.75" bottom="0.75" header="0.3" footer="0.3"/>
  <pageSetup paperSize="9" orientation="portrait" horizontalDpi="4294967293" verticalDpi="0"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9"/>
  <sheetViews>
    <sheetView topLeftCell="A22" workbookViewId="0">
      <selection activeCell="J28" sqref="J28"/>
    </sheetView>
  </sheetViews>
  <sheetFormatPr baseColWidth="10" defaultRowHeight="32.25" customHeight="1" x14ac:dyDescent="0.3"/>
  <cols>
    <col min="1" max="1" width="17" customWidth="1"/>
    <col min="2" max="3" width="12.6640625" customWidth="1"/>
    <col min="4" max="4" width="13.44140625" customWidth="1"/>
    <col min="5" max="5" width="15.88671875" customWidth="1"/>
    <col min="6" max="6" width="12.44140625" customWidth="1"/>
    <col min="7" max="7" width="12.88671875" customWidth="1"/>
    <col min="8" max="8" width="11.109375" customWidth="1"/>
    <col min="9" max="9" width="14.5546875" customWidth="1"/>
    <col min="10" max="10" width="14.109375" customWidth="1"/>
  </cols>
  <sheetData>
    <row r="1" spans="1:10" ht="32.25" customHeight="1" x14ac:dyDescent="0.3">
      <c r="A1" s="979" t="s">
        <v>782</v>
      </c>
      <c r="B1" s="979"/>
      <c r="C1" s="979"/>
      <c r="D1" s="979"/>
      <c r="E1" s="979"/>
      <c r="F1" s="979"/>
      <c r="G1" s="979"/>
    </row>
    <row r="2" spans="1:10" ht="15.6" x14ac:dyDescent="0.3">
      <c r="A2" s="987" t="s">
        <v>783</v>
      </c>
      <c r="B2" s="987"/>
      <c r="C2" s="987"/>
      <c r="D2" s="987"/>
      <c r="E2" s="987"/>
      <c r="F2" s="987"/>
      <c r="G2" s="987"/>
    </row>
    <row r="3" spans="1:10" ht="15.6" x14ac:dyDescent="0.3">
      <c r="A3" s="988" t="s">
        <v>784</v>
      </c>
      <c r="B3" s="988"/>
      <c r="C3" s="988"/>
      <c r="D3" s="988"/>
      <c r="E3" s="988"/>
      <c r="F3" s="988"/>
      <c r="G3" s="988"/>
    </row>
    <row r="4" spans="1:10" ht="15.6" x14ac:dyDescent="0.3">
      <c r="A4" s="583" t="s">
        <v>785</v>
      </c>
      <c r="B4" s="584">
        <v>2025</v>
      </c>
      <c r="C4" s="585"/>
      <c r="D4" s="585"/>
      <c r="E4" s="585"/>
      <c r="F4" s="585"/>
      <c r="G4" s="585"/>
    </row>
    <row r="5" spans="1:10" ht="28.8" x14ac:dyDescent="0.3">
      <c r="A5" s="586" t="s">
        <v>786</v>
      </c>
      <c r="B5" s="587">
        <v>2025</v>
      </c>
    </row>
    <row r="6" spans="1:10" ht="32.25" customHeight="1" x14ac:dyDescent="0.3">
      <c r="A6" s="462" t="s">
        <v>787</v>
      </c>
      <c r="B6" s="588">
        <v>3864</v>
      </c>
    </row>
    <row r="7" spans="1:10" ht="32.25" customHeight="1" x14ac:dyDescent="0.3">
      <c r="A7" s="462" t="s">
        <v>788</v>
      </c>
      <c r="B7" s="588">
        <v>3925</v>
      </c>
    </row>
    <row r="8" spans="1:10" ht="26.4" x14ac:dyDescent="0.3">
      <c r="A8" s="462" t="s">
        <v>418</v>
      </c>
      <c r="B8" s="463">
        <v>45689</v>
      </c>
      <c r="C8" s="464"/>
      <c r="D8" s="464"/>
      <c r="F8" s="464"/>
      <c r="G8" s="464"/>
    </row>
    <row r="9" spans="1:10" ht="26.4" x14ac:dyDescent="0.3">
      <c r="A9" s="462" t="s">
        <v>419</v>
      </c>
      <c r="B9" s="463">
        <v>45824</v>
      </c>
      <c r="C9" s="464"/>
      <c r="D9" s="464"/>
      <c r="F9" s="464"/>
      <c r="G9" s="464"/>
      <c r="I9" s="589"/>
      <c r="J9" s="464"/>
    </row>
    <row r="10" spans="1:10" ht="26.4" x14ac:dyDescent="0.3">
      <c r="A10" s="462" t="s">
        <v>420</v>
      </c>
      <c r="B10" s="463">
        <v>45689</v>
      </c>
      <c r="C10" s="464"/>
      <c r="D10" s="464"/>
      <c r="E10" s="464"/>
      <c r="F10" s="464"/>
      <c r="G10" s="464"/>
      <c r="I10" s="589"/>
      <c r="J10" s="464"/>
    </row>
    <row r="11" spans="1:10" ht="26.4" x14ac:dyDescent="0.3">
      <c r="A11" s="462" t="s">
        <v>421</v>
      </c>
      <c r="B11" s="463">
        <v>45716</v>
      </c>
      <c r="C11" s="464"/>
      <c r="D11" s="464"/>
      <c r="E11" s="464"/>
      <c r="F11" s="464"/>
      <c r="G11" s="464"/>
    </row>
    <row r="12" spans="1:10" ht="26.4" x14ac:dyDescent="0.3">
      <c r="A12" s="462" t="s">
        <v>423</v>
      </c>
      <c r="B12" s="45">
        <f>B9-B8+1</f>
        <v>136</v>
      </c>
      <c r="C12" s="108"/>
      <c r="D12" s="108"/>
      <c r="E12" s="108"/>
      <c r="F12" s="108"/>
      <c r="G12" s="108"/>
    </row>
    <row r="13" spans="1:10" ht="26.4" x14ac:dyDescent="0.3">
      <c r="A13" s="462" t="s">
        <v>424</v>
      </c>
      <c r="B13" s="45">
        <v>0</v>
      </c>
      <c r="C13" s="108"/>
      <c r="D13" s="108"/>
      <c r="E13" s="108"/>
      <c r="F13" s="108"/>
      <c r="G13" s="108"/>
    </row>
    <row r="14" spans="1:10" ht="14.4" x14ac:dyDescent="0.3">
      <c r="A14" s="462" t="s">
        <v>425</v>
      </c>
      <c r="B14" s="45">
        <f>B12-B13</f>
        <v>136</v>
      </c>
      <c r="C14" s="108"/>
      <c r="D14" s="108"/>
      <c r="E14" s="108"/>
      <c r="F14" s="108"/>
      <c r="G14" s="108"/>
    </row>
    <row r="15" spans="1:10" ht="26.4" x14ac:dyDescent="0.3">
      <c r="A15" s="462" t="s">
        <v>428</v>
      </c>
      <c r="B15" s="45">
        <f>NETWORKDAYS(B8,B9)</f>
        <v>96</v>
      </c>
      <c r="C15" s="108"/>
      <c r="F15" s="108"/>
      <c r="G15" s="108"/>
    </row>
    <row r="16" spans="1:10" ht="26.4" x14ac:dyDescent="0.3">
      <c r="A16" s="462" t="s">
        <v>426</v>
      </c>
      <c r="B16" s="45">
        <f ca="1">SUMPRODUCT((WEEKDAY(ROW(INDIRECT(B$8&amp;":"&amp;B$9)))=7)*1)</f>
        <v>20</v>
      </c>
      <c r="C16" s="108"/>
      <c r="D16" s="108"/>
      <c r="E16" s="108"/>
      <c r="F16" s="108"/>
      <c r="G16" s="108"/>
    </row>
    <row r="17" spans="1:10" ht="26.4" x14ac:dyDescent="0.3">
      <c r="A17" s="462" t="s">
        <v>427</v>
      </c>
      <c r="B17" s="45">
        <f ca="1">+B15+B16</f>
        <v>116</v>
      </c>
      <c r="C17" s="108"/>
      <c r="D17" s="108"/>
      <c r="E17" s="108"/>
      <c r="F17" s="108"/>
      <c r="G17" s="108"/>
    </row>
    <row r="18" spans="1:10" ht="32.25" customHeight="1" x14ac:dyDescent="0.3">
      <c r="C18" s="108"/>
      <c r="D18" s="108"/>
      <c r="E18" s="108"/>
      <c r="F18" s="108"/>
      <c r="G18" s="108"/>
    </row>
    <row r="19" spans="1:10" ht="32.25" customHeight="1" x14ac:dyDescent="0.3">
      <c r="C19" s="467"/>
      <c r="D19" s="467"/>
      <c r="E19" s="467"/>
      <c r="F19" s="467"/>
      <c r="G19" s="467"/>
      <c r="H19" s="467"/>
    </row>
    <row r="20" spans="1:10" ht="32.25" customHeight="1" x14ac:dyDescent="0.3">
      <c r="C20" s="467"/>
      <c r="D20" s="467"/>
      <c r="E20" s="467"/>
      <c r="F20" s="467"/>
      <c r="G20" s="467"/>
      <c r="H20" s="467"/>
    </row>
    <row r="21" spans="1:10" ht="32.25" customHeight="1" x14ac:dyDescent="0.3">
      <c r="C21" s="467"/>
      <c r="D21" s="467"/>
      <c r="E21" s="467"/>
      <c r="F21" s="467"/>
      <c r="G21" s="467"/>
      <c r="H21" s="467"/>
    </row>
    <row r="22" spans="1:10" ht="32.25" customHeight="1" x14ac:dyDescent="0.3">
      <c r="C22" s="467"/>
      <c r="D22" s="467"/>
      <c r="E22" s="467"/>
      <c r="F22" s="467"/>
      <c r="G22" s="467"/>
      <c r="H22" s="467"/>
    </row>
    <row r="23" spans="1:10" ht="32.25" customHeight="1" x14ac:dyDescent="0.3">
      <c r="A23" s="589"/>
      <c r="C23" s="467"/>
      <c r="D23" s="467"/>
      <c r="E23" s="467"/>
      <c r="F23" s="467"/>
      <c r="G23" s="467"/>
      <c r="H23" s="467"/>
    </row>
    <row r="24" spans="1:10" ht="15.6" x14ac:dyDescent="0.3">
      <c r="A24" s="989" t="s">
        <v>789</v>
      </c>
      <c r="B24" s="989"/>
      <c r="C24" s="989"/>
      <c r="D24" s="989"/>
      <c r="E24" s="989"/>
      <c r="F24" s="989"/>
      <c r="G24" s="989"/>
      <c r="H24" s="989"/>
      <c r="I24" s="989"/>
      <c r="J24" s="989"/>
    </row>
    <row r="25" spans="1:10" ht="32.25" customHeight="1" x14ac:dyDescent="0.3">
      <c r="A25" s="590" t="s">
        <v>431</v>
      </c>
      <c r="B25" s="590" t="s">
        <v>432</v>
      </c>
      <c r="C25" s="590" t="s">
        <v>433</v>
      </c>
      <c r="D25" s="590" t="s">
        <v>434</v>
      </c>
      <c r="E25" s="590" t="s">
        <v>435</v>
      </c>
      <c r="F25" s="591" t="s">
        <v>436</v>
      </c>
      <c r="G25" s="591" t="s">
        <v>790</v>
      </c>
      <c r="H25" s="592" t="s">
        <v>791</v>
      </c>
      <c r="I25" s="592" t="s">
        <v>792</v>
      </c>
      <c r="J25" s="591" t="s">
        <v>793</v>
      </c>
    </row>
    <row r="26" spans="1:10" ht="36" x14ac:dyDescent="0.3">
      <c r="A26" s="593" t="s">
        <v>437</v>
      </c>
      <c r="B26" s="990" t="s">
        <v>794</v>
      </c>
      <c r="C26" s="991"/>
      <c r="D26" s="532" t="s">
        <v>439</v>
      </c>
      <c r="E26" s="532" t="s">
        <v>795</v>
      </c>
      <c r="F26" s="532" t="s">
        <v>796</v>
      </c>
      <c r="G26" s="532" t="s">
        <v>797</v>
      </c>
      <c r="H26" s="532" t="s">
        <v>440</v>
      </c>
      <c r="I26" s="594" t="s">
        <v>798</v>
      </c>
      <c r="J26" s="595">
        <f>B8</f>
        <v>45689</v>
      </c>
    </row>
    <row r="27" spans="1:10" ht="14.4" x14ac:dyDescent="0.3">
      <c r="A27" s="596">
        <v>2025</v>
      </c>
      <c r="B27" s="597" t="s">
        <v>779</v>
      </c>
      <c r="C27" s="598" t="s">
        <v>108</v>
      </c>
      <c r="D27" s="599">
        <v>4000</v>
      </c>
      <c r="E27" s="600">
        <f>D27*0.79</f>
        <v>3160</v>
      </c>
      <c r="F27" s="600">
        <f>+IF(A27=B4,B7,B6)</f>
        <v>3925</v>
      </c>
      <c r="G27" s="600">
        <f>F27*0.79</f>
        <v>3100.75</v>
      </c>
      <c r="H27" s="601">
        <f>MIN(E27,G27)</f>
        <v>3100.75</v>
      </c>
      <c r="I27" s="602" t="s">
        <v>419</v>
      </c>
      <c r="J27" s="603">
        <f>B9</f>
        <v>45824</v>
      </c>
    </row>
    <row r="28" spans="1:10" ht="36" x14ac:dyDescent="0.3">
      <c r="A28" s="596">
        <v>2024</v>
      </c>
      <c r="B28" s="597" t="s">
        <v>780</v>
      </c>
      <c r="C28" s="598" t="s">
        <v>799</v>
      </c>
      <c r="D28" s="599">
        <v>3500</v>
      </c>
      <c r="E28" s="600">
        <f>D28*0.79</f>
        <v>2765</v>
      </c>
      <c r="F28" s="600">
        <f>F27</f>
        <v>3925</v>
      </c>
      <c r="G28" s="600">
        <f>F28*0.79</f>
        <v>3100.75</v>
      </c>
      <c r="H28" s="601">
        <f>MIN(E28,G28)</f>
        <v>2765</v>
      </c>
      <c r="I28" s="604" t="s">
        <v>800</v>
      </c>
      <c r="J28" s="604">
        <f>J27-J26+1</f>
        <v>136</v>
      </c>
    </row>
    <row r="29" spans="1:10" ht="24" x14ac:dyDescent="0.3">
      <c r="A29" s="596">
        <v>2024</v>
      </c>
      <c r="B29" s="597" t="s">
        <v>442</v>
      </c>
      <c r="C29" s="598" t="s">
        <v>801</v>
      </c>
      <c r="D29" s="599">
        <v>3500</v>
      </c>
      <c r="E29" s="600">
        <f>D29*0.79</f>
        <v>2765</v>
      </c>
      <c r="F29" s="600">
        <f>F27</f>
        <v>3925</v>
      </c>
      <c r="G29" s="600">
        <f>F29*0.79</f>
        <v>3100.75</v>
      </c>
      <c r="H29" s="601">
        <f>MIN(E29,G29)</f>
        <v>2765</v>
      </c>
      <c r="I29" s="604" t="s">
        <v>424</v>
      </c>
      <c r="J29" s="604">
        <v>0</v>
      </c>
    </row>
    <row r="30" spans="1:10" ht="15.6" x14ac:dyDescent="0.3">
      <c r="A30" s="476"/>
      <c r="B30" s="476"/>
      <c r="C30" s="477"/>
      <c r="D30" s="477"/>
      <c r="E30" s="477"/>
      <c r="F30" s="477"/>
      <c r="G30" s="605" t="s">
        <v>95</v>
      </c>
      <c r="H30" s="606">
        <f>SUM(H27:H29)</f>
        <v>8630.75</v>
      </c>
      <c r="I30" s="607" t="s">
        <v>425</v>
      </c>
      <c r="J30" s="607">
        <f>J28-J29</f>
        <v>136</v>
      </c>
    </row>
    <row r="31" spans="1:10" ht="15.6" x14ac:dyDescent="0.3">
      <c r="A31" s="476" t="s">
        <v>802</v>
      </c>
      <c r="B31" s="476"/>
      <c r="C31" s="467"/>
      <c r="D31" s="467"/>
      <c r="E31" s="467"/>
      <c r="F31" s="986" t="s">
        <v>443</v>
      </c>
      <c r="G31" s="986"/>
      <c r="H31" s="608">
        <f>ROUND(H30/91.25,2)</f>
        <v>94.58</v>
      </c>
      <c r="I31" s="609"/>
      <c r="J31" s="552"/>
    </row>
    <row r="32" spans="1:10" ht="15.6" x14ac:dyDescent="0.3">
      <c r="A32" s="476"/>
      <c r="B32" s="476"/>
      <c r="C32" s="467"/>
      <c r="D32" s="467"/>
      <c r="E32" s="467"/>
      <c r="F32" s="992" t="s">
        <v>444</v>
      </c>
      <c r="G32" s="992"/>
      <c r="H32" s="610">
        <f>J30</f>
        <v>136</v>
      </c>
      <c r="I32" s="611"/>
      <c r="J32" s="552"/>
    </row>
    <row r="33" spans="1:11" ht="15.6" x14ac:dyDescent="0.3">
      <c r="A33" s="476"/>
      <c r="B33" s="476"/>
      <c r="C33" s="467"/>
      <c r="D33" s="467"/>
      <c r="E33" s="467"/>
      <c r="F33" s="986" t="s">
        <v>471</v>
      </c>
      <c r="G33" s="986"/>
      <c r="H33" s="608">
        <f>ROUND(H31*H32,2)</f>
        <v>12862.88</v>
      </c>
      <c r="I33" s="552"/>
      <c r="J33" s="552"/>
    </row>
    <row r="34" spans="1:11" ht="15.6" x14ac:dyDescent="0.3">
      <c r="A34" s="476"/>
      <c r="B34" s="476"/>
      <c r="C34" s="467"/>
      <c r="D34" s="467"/>
      <c r="E34" s="467"/>
      <c r="F34" s="986" t="s">
        <v>803</v>
      </c>
      <c r="G34" s="986"/>
      <c r="H34" s="606">
        <f>H33*3.8%</f>
        <v>488.78943999999996</v>
      </c>
      <c r="I34" s="552"/>
      <c r="J34" s="609"/>
      <c r="K34" s="612"/>
    </row>
    <row r="35" spans="1:11" ht="15.6" x14ac:dyDescent="0.3">
      <c r="A35" s="476"/>
      <c r="B35" s="476"/>
      <c r="C35" s="467"/>
      <c r="D35" s="467"/>
      <c r="E35" s="467"/>
      <c r="F35" s="986" t="s">
        <v>804</v>
      </c>
      <c r="G35" s="986"/>
      <c r="H35" s="606">
        <f>H33*2.9%</f>
        <v>373.02351999999996</v>
      </c>
      <c r="I35" s="552"/>
      <c r="J35" s="552"/>
    </row>
    <row r="36" spans="1:11" ht="15.6" x14ac:dyDescent="0.3">
      <c r="F36" s="986" t="s">
        <v>805</v>
      </c>
      <c r="G36" s="986"/>
      <c r="H36" s="608">
        <f>H33-H34-H35</f>
        <v>12001.067039999998</v>
      </c>
      <c r="I36" s="187"/>
      <c r="J36" s="187"/>
    </row>
    <row r="37" spans="1:11" ht="15.6" x14ac:dyDescent="0.3">
      <c r="D37" t="s">
        <v>806</v>
      </c>
      <c r="F37" s="986" t="s">
        <v>807</v>
      </c>
      <c r="G37" s="986"/>
      <c r="H37" s="606">
        <f>H33-H34</f>
        <v>12374.090559999999</v>
      </c>
    </row>
    <row r="38" spans="1:11" ht="15.6" x14ac:dyDescent="0.3">
      <c r="G38" s="609"/>
      <c r="H38" s="609"/>
    </row>
    <row r="39" spans="1:11" ht="32.25" customHeight="1" x14ac:dyDescent="0.3">
      <c r="G39" s="612"/>
      <c r="H39" s="612"/>
    </row>
  </sheetData>
  <mergeCells count="12">
    <mergeCell ref="F37:G37"/>
    <mergeCell ref="A1:G1"/>
    <mergeCell ref="A2:G2"/>
    <mergeCell ref="A3:G3"/>
    <mergeCell ref="A24:J24"/>
    <mergeCell ref="B26:C26"/>
    <mergeCell ref="F31:G31"/>
    <mergeCell ref="F32:G32"/>
    <mergeCell ref="F33:G33"/>
    <mergeCell ref="F34:G34"/>
    <mergeCell ref="F35:G35"/>
    <mergeCell ref="F36:G36"/>
  </mergeCells>
  <conditionalFormatting sqref="A2:G2 C4:G4 A3">
    <cfRule type="dataBar" priority="1">
      <dataBar>
        <cfvo type="min"/>
        <cfvo type="max"/>
        <color rgb="FF008AEF"/>
      </dataBar>
      <extLst>
        <ext xmlns:x14="http://schemas.microsoft.com/office/spreadsheetml/2009/9/main" uri="{B025F937-C7B1-47D3-B67F-A62EFF666E3E}">
          <x14:id>{89945307-674E-4739-832B-B3899A50471B}</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9945307-674E-4739-832B-B3899A50471B}">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1"/>
  <sheetViews>
    <sheetView topLeftCell="B14" zoomScale="110" zoomScaleNormal="110" workbookViewId="0">
      <selection activeCell="G19" sqref="G19"/>
    </sheetView>
  </sheetViews>
  <sheetFormatPr baseColWidth="10" defaultColWidth="11.44140625" defaultRowHeight="15.6" x14ac:dyDescent="0.3"/>
  <cols>
    <col min="1" max="16384" width="11.44140625" style="187"/>
  </cols>
  <sheetData>
    <row r="3" spans="2:4" x14ac:dyDescent="0.3">
      <c r="B3" s="187" t="s">
        <v>696</v>
      </c>
    </row>
    <row r="5" spans="2:4" x14ac:dyDescent="0.3">
      <c r="C5" s="187" t="s">
        <v>697</v>
      </c>
    </row>
    <row r="6" spans="2:4" x14ac:dyDescent="0.3">
      <c r="C6" s="187" t="s">
        <v>698</v>
      </c>
    </row>
    <row r="8" spans="2:4" x14ac:dyDescent="0.3">
      <c r="B8" s="187" t="s">
        <v>699</v>
      </c>
    </row>
    <row r="9" spans="2:4" x14ac:dyDescent="0.3">
      <c r="B9" s="187" t="s">
        <v>772</v>
      </c>
    </row>
    <row r="11" spans="2:4" x14ac:dyDescent="0.3">
      <c r="C11" s="187" t="s">
        <v>700</v>
      </c>
    </row>
    <row r="13" spans="2:4" x14ac:dyDescent="0.3">
      <c r="D13" s="187" t="s">
        <v>766</v>
      </c>
    </row>
    <row r="14" spans="2:4" x14ac:dyDescent="0.3">
      <c r="D14" s="187" t="s">
        <v>546</v>
      </c>
    </row>
    <row r="15" spans="2:4" x14ac:dyDescent="0.3">
      <c r="D15" s="187" t="s">
        <v>701</v>
      </c>
    </row>
    <row r="16" spans="2:4" x14ac:dyDescent="0.3">
      <c r="D16" s="187" t="s">
        <v>702</v>
      </c>
    </row>
    <row r="17" spans="4:7" x14ac:dyDescent="0.3">
      <c r="D17" s="187" t="s">
        <v>703</v>
      </c>
      <c r="G17" s="187" t="s">
        <v>704</v>
      </c>
    </row>
    <row r="18" spans="4:7" x14ac:dyDescent="0.3">
      <c r="D18" s="187" t="s">
        <v>555</v>
      </c>
    </row>
    <row r="19" spans="4:7" x14ac:dyDescent="0.3">
      <c r="D19" s="187" t="s">
        <v>705</v>
      </c>
      <c r="G19" s="58" t="s">
        <v>706</v>
      </c>
    </row>
    <row r="20" spans="4:7" x14ac:dyDescent="0.3">
      <c r="G20" s="187" t="s">
        <v>707</v>
      </c>
    </row>
    <row r="21" spans="4:7" x14ac:dyDescent="0.3">
      <c r="D21" s="187" t="s">
        <v>708</v>
      </c>
      <c r="G21" s="187" t="s">
        <v>709</v>
      </c>
    </row>
    <row r="22" spans="4:7" x14ac:dyDescent="0.3">
      <c r="G22" s="187" t="s">
        <v>710</v>
      </c>
    </row>
    <row r="23" spans="4:7" x14ac:dyDescent="0.3">
      <c r="D23" s="187" t="s">
        <v>711</v>
      </c>
      <c r="G23" s="187" t="s">
        <v>767</v>
      </c>
    </row>
    <row r="24" spans="4:7" x14ac:dyDescent="0.3">
      <c r="D24" s="187" t="s">
        <v>712</v>
      </c>
      <c r="G24" s="187" t="s">
        <v>713</v>
      </c>
    </row>
    <row r="25" spans="4:7" x14ac:dyDescent="0.3">
      <c r="D25" s="187" t="s">
        <v>714</v>
      </c>
      <c r="G25" s="526" t="s">
        <v>715</v>
      </c>
    </row>
    <row r="26" spans="4:7" x14ac:dyDescent="0.3">
      <c r="D26" s="187" t="s">
        <v>716</v>
      </c>
      <c r="G26" s="187" t="s">
        <v>717</v>
      </c>
    </row>
    <row r="27" spans="4:7" x14ac:dyDescent="0.3">
      <c r="D27" s="187" t="s">
        <v>718</v>
      </c>
      <c r="G27" s="187" t="s">
        <v>719</v>
      </c>
    </row>
    <row r="28" spans="4:7" x14ac:dyDescent="0.3">
      <c r="D28" s="187" t="s">
        <v>720</v>
      </c>
      <c r="G28" s="187" t="s">
        <v>721</v>
      </c>
    </row>
    <row r="29" spans="4:7" x14ac:dyDescent="0.3">
      <c r="D29" s="187" t="s">
        <v>722</v>
      </c>
      <c r="G29" s="187" t="s">
        <v>723</v>
      </c>
    </row>
    <row r="30" spans="4:7" x14ac:dyDescent="0.3">
      <c r="D30" s="187" t="s">
        <v>724</v>
      </c>
    </row>
    <row r="31" spans="4:7" x14ac:dyDescent="0.3">
      <c r="D31" s="187" t="s">
        <v>725</v>
      </c>
    </row>
  </sheetData>
  <phoneticPr fontId="80"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32</xdr:row>
                <xdr:rowOff>0</xdr:rowOff>
              </from>
              <to>
                <xdr:col>9</xdr:col>
                <xdr:colOff>678180</xdr:colOff>
                <xdr:row>36</xdr:row>
                <xdr:rowOff>83820</xdr:rowOff>
              </to>
            </anchor>
          </objectPr>
        </oleObject>
      </mc:Choice>
      <mc:Fallback>
        <oleObject progId="Word.Document.12" shapeId="99329" r:id="rId4"/>
      </mc:Fallback>
    </mc:AlternateContent>
  </oleObject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4140625" defaultRowHeight="13.8" x14ac:dyDescent="0.25"/>
  <cols>
    <col min="1" max="1" width="9.44140625" style="58" customWidth="1"/>
    <col min="2" max="2" width="54.33203125" style="58" customWidth="1"/>
    <col min="3" max="3" width="21.88671875" style="624" customWidth="1"/>
    <col min="4" max="4" width="16.33203125" style="58" customWidth="1"/>
    <col min="5" max="5" width="18.33203125" style="58" customWidth="1"/>
    <col min="6" max="6" width="15.5546875" style="58" customWidth="1"/>
    <col min="7" max="7" width="11.44140625" style="58"/>
    <col min="8" max="8" width="15.6640625" style="58" customWidth="1"/>
    <col min="9" max="10" width="23.33203125" style="58" customWidth="1"/>
    <col min="11" max="16384" width="11.44140625" style="58"/>
  </cols>
  <sheetData>
    <row r="1" spans="1:11" ht="22.2" customHeight="1" x14ac:dyDescent="0.25">
      <c r="B1" s="825" t="s">
        <v>808</v>
      </c>
      <c r="C1" s="825"/>
    </row>
    <row r="2" spans="1:11" ht="22.2" customHeight="1" x14ac:dyDescent="0.25">
      <c r="B2" s="37" t="s">
        <v>410</v>
      </c>
      <c r="C2" s="613"/>
      <c r="E2" s="62"/>
      <c r="F2" s="62"/>
      <c r="G2" s="62"/>
      <c r="J2" s="62"/>
      <c r="K2" s="62"/>
    </row>
    <row r="3" spans="1:11" ht="22.2" customHeight="1" x14ac:dyDescent="0.25">
      <c r="B3" s="37" t="s">
        <v>809</v>
      </c>
      <c r="C3" s="613"/>
      <c r="E3" s="62"/>
      <c r="F3" s="62"/>
      <c r="G3" s="62"/>
      <c r="J3" s="62"/>
      <c r="K3" s="62"/>
    </row>
    <row r="4" spans="1:11" ht="22.2" customHeight="1" x14ac:dyDescent="0.25">
      <c r="A4" s="939" t="s">
        <v>308</v>
      </c>
      <c r="B4" s="867" t="s">
        <v>810</v>
      </c>
      <c r="C4" s="1000"/>
    </row>
    <row r="5" spans="1:11" ht="22.2" customHeight="1" x14ac:dyDescent="0.25">
      <c r="A5" s="941"/>
      <c r="B5" s="867"/>
      <c r="C5" s="1000"/>
    </row>
    <row r="6" spans="1:11" ht="22.2" customHeight="1" x14ac:dyDescent="0.25">
      <c r="A6" s="1001" t="s">
        <v>264</v>
      </c>
      <c r="B6" s="1002" t="s">
        <v>811</v>
      </c>
      <c r="C6" s="1000"/>
    </row>
    <row r="7" spans="1:11" ht="78.599999999999994" customHeight="1" x14ac:dyDescent="0.25">
      <c r="A7" s="1001"/>
      <c r="B7" s="1003"/>
      <c r="C7" s="1000"/>
    </row>
    <row r="8" spans="1:11" ht="22.2" customHeight="1" x14ac:dyDescent="0.25">
      <c r="A8" s="448" t="s">
        <v>226</v>
      </c>
      <c r="B8" s="565" t="s">
        <v>812</v>
      </c>
      <c r="C8" s="613"/>
    </row>
    <row r="9" spans="1:11" x14ac:dyDescent="0.25">
      <c r="A9" s="994" t="s">
        <v>265</v>
      </c>
      <c r="B9" s="939" t="s">
        <v>813</v>
      </c>
      <c r="C9" s="999">
        <f>IF(C6=0,0,IF(C6=1,C8/12,IF(C6=2,C8/6,IF(C6=3,C8/3,IF(C6=4,C8/2)))))</f>
        <v>0</v>
      </c>
    </row>
    <row r="10" spans="1:11" x14ac:dyDescent="0.25">
      <c r="A10" s="995"/>
      <c r="B10" s="941"/>
      <c r="C10" s="999"/>
    </row>
    <row r="11" spans="1:11" x14ac:dyDescent="0.25">
      <c r="A11" s="994" t="s">
        <v>266</v>
      </c>
      <c r="B11" s="939" t="s">
        <v>814</v>
      </c>
      <c r="C11" s="998">
        <f>C4+C9</f>
        <v>0</v>
      </c>
    </row>
    <row r="12" spans="1:11" x14ac:dyDescent="0.25">
      <c r="A12" s="995"/>
      <c r="B12" s="941"/>
      <c r="C12" s="998"/>
    </row>
    <row r="13" spans="1:11" x14ac:dyDescent="0.25">
      <c r="A13" s="994" t="s">
        <v>265</v>
      </c>
      <c r="B13" s="996" t="s">
        <v>815</v>
      </c>
      <c r="C13" s="998">
        <f>C11/30.42</f>
        <v>0</v>
      </c>
      <c r="D13" s="892"/>
    </row>
    <row r="14" spans="1:11" x14ac:dyDescent="0.25">
      <c r="A14" s="995"/>
      <c r="B14" s="997"/>
      <c r="C14" s="998"/>
      <c r="D14" s="892"/>
    </row>
    <row r="15" spans="1:11" x14ac:dyDescent="0.25">
      <c r="B15" s="614" t="s">
        <v>816</v>
      </c>
      <c r="C15" s="615"/>
      <c r="F15" s="892"/>
      <c r="G15" s="892"/>
      <c r="H15" s="993"/>
    </row>
    <row r="16" spans="1:11" x14ac:dyDescent="0.25">
      <c r="B16" s="448" t="s">
        <v>817</v>
      </c>
      <c r="C16" s="617">
        <f>60%*C13</f>
        <v>0</v>
      </c>
      <c r="F16" s="892"/>
      <c r="G16" s="892"/>
      <c r="H16" s="993"/>
    </row>
    <row r="17" spans="2:8" x14ac:dyDescent="0.25">
      <c r="B17" s="448" t="s">
        <v>818</v>
      </c>
      <c r="C17" s="617">
        <f>C13*0.79</f>
        <v>0</v>
      </c>
      <c r="F17" s="892"/>
      <c r="G17" s="892"/>
      <c r="H17" s="993"/>
    </row>
    <row r="18" spans="2:8" x14ac:dyDescent="0.25">
      <c r="B18" s="448" t="s">
        <v>819</v>
      </c>
      <c r="C18" s="617">
        <f>MIN(C16,C17)</f>
        <v>0</v>
      </c>
      <c r="F18" s="892"/>
      <c r="G18" s="892"/>
      <c r="H18" s="993"/>
    </row>
    <row r="19" spans="2:8" x14ac:dyDescent="0.25">
      <c r="B19" s="448" t="s">
        <v>820</v>
      </c>
      <c r="C19" s="617">
        <f>0.834%*C2*12*60 %</f>
        <v>0</v>
      </c>
      <c r="F19" s="62"/>
      <c r="G19" s="62"/>
      <c r="H19" s="616"/>
    </row>
    <row r="20" spans="2:8" x14ac:dyDescent="0.25">
      <c r="B20" s="448" t="s">
        <v>821</v>
      </c>
      <c r="C20" s="618">
        <f>MIN(C18,C19)</f>
        <v>0</v>
      </c>
      <c r="F20" s="62"/>
      <c r="G20" s="62"/>
      <c r="H20" s="616"/>
    </row>
    <row r="21" spans="2:8" x14ac:dyDescent="0.25">
      <c r="B21" s="614" t="s">
        <v>822</v>
      </c>
      <c r="C21" s="617"/>
      <c r="F21" s="62"/>
      <c r="G21" s="62"/>
      <c r="H21" s="616"/>
    </row>
    <row r="22" spans="2:8" x14ac:dyDescent="0.25">
      <c r="B22" s="448" t="s">
        <v>818</v>
      </c>
      <c r="C22" s="617">
        <f>C17</f>
        <v>0</v>
      </c>
      <c r="F22" s="62"/>
      <c r="G22" s="62"/>
      <c r="H22" s="616"/>
    </row>
    <row r="23" spans="2:8" x14ac:dyDescent="0.25">
      <c r="B23" s="448" t="s">
        <v>823</v>
      </c>
      <c r="C23" s="617">
        <f>80%*C13</f>
        <v>0</v>
      </c>
      <c r="F23" s="62"/>
      <c r="G23" s="62"/>
      <c r="H23" s="616"/>
    </row>
    <row r="24" spans="2:8" x14ac:dyDescent="0.25">
      <c r="B24" s="448" t="s">
        <v>824</v>
      </c>
      <c r="C24" s="617">
        <f>MIN(C22,C23)</f>
        <v>0</v>
      </c>
      <c r="F24" s="62"/>
      <c r="G24" s="62"/>
      <c r="H24" s="616"/>
    </row>
    <row r="25" spans="2:8" x14ac:dyDescent="0.25">
      <c r="B25" s="448" t="s">
        <v>825</v>
      </c>
      <c r="C25" s="617">
        <f>0.834%*C2*12*80 %</f>
        <v>0</v>
      </c>
      <c r="F25" s="62"/>
      <c r="G25" s="62"/>
      <c r="H25" s="616"/>
    </row>
    <row r="26" spans="2:8" x14ac:dyDescent="0.25">
      <c r="B26" s="448" t="s">
        <v>826</v>
      </c>
      <c r="C26" s="618">
        <f>MIN(C24,C25)</f>
        <v>0</v>
      </c>
      <c r="F26" s="62"/>
      <c r="G26" s="62"/>
      <c r="H26" s="616"/>
    </row>
    <row r="27" spans="2:8" x14ac:dyDescent="0.25">
      <c r="B27" s="448" t="s">
        <v>827</v>
      </c>
      <c r="C27" s="618">
        <f>IF(C3&lt;=28,C20,C26)</f>
        <v>0</v>
      </c>
      <c r="F27" s="62"/>
      <c r="G27" s="62"/>
      <c r="H27" s="616"/>
    </row>
    <row r="28" spans="2:8" x14ac:dyDescent="0.25">
      <c r="B28" s="619" t="s">
        <v>828</v>
      </c>
      <c r="C28" s="620">
        <f>C27*3.8%</f>
        <v>0</v>
      </c>
    </row>
    <row r="29" spans="2:8" x14ac:dyDescent="0.25">
      <c r="B29" s="619" t="s">
        <v>829</v>
      </c>
      <c r="C29" s="620">
        <f>C27*2.9%</f>
        <v>0</v>
      </c>
    </row>
    <row r="30" spans="2:8" x14ac:dyDescent="0.25">
      <c r="B30" s="621" t="s">
        <v>805</v>
      </c>
      <c r="C30" s="622">
        <f>C27-C28-C29</f>
        <v>0</v>
      </c>
    </row>
    <row r="31" spans="2:8" x14ac:dyDescent="0.25">
      <c r="B31" s="619" t="s">
        <v>830</v>
      </c>
      <c r="C31" s="620">
        <f>50% * C27</f>
        <v>0</v>
      </c>
    </row>
    <row r="32" spans="2:8" x14ac:dyDescent="0.25">
      <c r="B32" s="619" t="s">
        <v>831</v>
      </c>
      <c r="C32" s="620">
        <f>C31*3.8%</f>
        <v>0</v>
      </c>
    </row>
    <row r="33" spans="2:3" ht="27.6" x14ac:dyDescent="0.25">
      <c r="B33" s="77" t="s">
        <v>832</v>
      </c>
      <c r="C33" s="622">
        <f>+C31-C32</f>
        <v>0</v>
      </c>
    </row>
    <row r="34" spans="2:3" x14ac:dyDescent="0.25">
      <c r="B34" s="37" t="s">
        <v>425</v>
      </c>
      <c r="C34" s="623">
        <f>C3</f>
        <v>0</v>
      </c>
    </row>
    <row r="35" spans="2:3" x14ac:dyDescent="0.25">
      <c r="B35" s="37" t="s">
        <v>833</v>
      </c>
      <c r="C35" s="623">
        <f>C27*C3</f>
        <v>0</v>
      </c>
    </row>
    <row r="36" spans="2:3" x14ac:dyDescent="0.25">
      <c r="B36" s="37" t="s">
        <v>834</v>
      </c>
      <c r="C36" s="623">
        <f>C30*C3</f>
        <v>0</v>
      </c>
    </row>
    <row r="37" spans="2:3" x14ac:dyDescent="0.25">
      <c r="B37" s="37" t="s">
        <v>835</v>
      </c>
      <c r="C37" s="623">
        <f>C33*C3</f>
        <v>0</v>
      </c>
    </row>
  </sheetData>
  <mergeCells count="20">
    <mergeCell ref="B1:C1"/>
    <mergeCell ref="A4:A5"/>
    <mergeCell ref="B4:B5"/>
    <mergeCell ref="C4:C5"/>
    <mergeCell ref="A6:A7"/>
    <mergeCell ref="B6:B7"/>
    <mergeCell ref="C6:C7"/>
    <mergeCell ref="A9:A10"/>
    <mergeCell ref="B9:B10"/>
    <mergeCell ref="C9:C10"/>
    <mergeCell ref="A11:A12"/>
    <mergeCell ref="B11:B12"/>
    <mergeCell ref="C11:C12"/>
    <mergeCell ref="H15:H18"/>
    <mergeCell ref="A13:A14"/>
    <mergeCell ref="B13:B14"/>
    <mergeCell ref="C13:C14"/>
    <mergeCell ref="D13:D14"/>
    <mergeCell ref="F15:F18"/>
    <mergeCell ref="G15:G18"/>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4ED61-A4B1-4799-9D92-043C298E6A97}">
  <dimension ref="A2:P115"/>
  <sheetViews>
    <sheetView workbookViewId="0">
      <selection activeCell="M9" sqref="M9"/>
    </sheetView>
  </sheetViews>
  <sheetFormatPr baseColWidth="10" defaultRowHeight="14.4" x14ac:dyDescent="0.3"/>
  <sheetData>
    <row r="2" spans="1:9" ht="15.6" x14ac:dyDescent="0.3">
      <c r="A2" s="187" t="s">
        <v>938</v>
      </c>
    </row>
    <row r="3" spans="1:9" ht="15.6" x14ac:dyDescent="0.3">
      <c r="A3" s="187"/>
      <c r="B3" s="187"/>
      <c r="C3" s="187"/>
      <c r="D3" s="187"/>
      <c r="E3" s="187"/>
      <c r="F3" s="187"/>
      <c r="G3" s="187"/>
      <c r="H3" s="187"/>
      <c r="I3" s="187"/>
    </row>
    <row r="4" spans="1:9" ht="15.6" x14ac:dyDescent="0.3">
      <c r="A4" s="187"/>
      <c r="B4" s="187" t="s">
        <v>859</v>
      </c>
      <c r="C4" s="187"/>
      <c r="D4" s="187"/>
      <c r="E4" s="187"/>
      <c r="F4" s="187"/>
      <c r="G4" s="187"/>
      <c r="H4" s="187"/>
      <c r="I4" s="187"/>
    </row>
    <row r="5" spans="1:9" ht="15.6" x14ac:dyDescent="0.3">
      <c r="A5" s="187"/>
      <c r="B5" s="187" t="s">
        <v>860</v>
      </c>
      <c r="C5" s="187"/>
      <c r="D5" s="187"/>
      <c r="E5" s="187"/>
      <c r="F5" s="187"/>
      <c r="G5" s="187"/>
      <c r="H5" s="187"/>
      <c r="I5" s="187"/>
    </row>
    <row r="6" spans="1:9" ht="15.6" x14ac:dyDescent="0.3">
      <c r="A6" s="187"/>
      <c r="B6" s="187" t="s">
        <v>919</v>
      </c>
      <c r="C6" s="187"/>
      <c r="D6" s="187"/>
      <c r="E6" s="187"/>
      <c r="F6" s="187"/>
      <c r="G6" s="187"/>
      <c r="H6" s="187"/>
      <c r="I6" s="187"/>
    </row>
    <row r="7" spans="1:9" ht="15.6" x14ac:dyDescent="0.3">
      <c r="A7" s="187"/>
      <c r="B7" s="187" t="s">
        <v>861</v>
      </c>
      <c r="C7" s="187"/>
      <c r="D7" s="187"/>
      <c r="E7" s="187"/>
      <c r="F7" s="187"/>
      <c r="G7" s="187"/>
      <c r="H7" s="187"/>
      <c r="I7" s="187"/>
    </row>
    <row r="8" spans="1:9" ht="15.6" x14ac:dyDescent="0.3">
      <c r="A8" s="187"/>
      <c r="B8" s="187"/>
      <c r="C8" s="187"/>
      <c r="D8" s="187"/>
      <c r="E8" s="187"/>
      <c r="F8" s="187"/>
      <c r="G8" s="187"/>
      <c r="H8" s="187"/>
      <c r="I8" s="187"/>
    </row>
    <row r="9" spans="1:9" ht="15.6" x14ac:dyDescent="0.3">
      <c r="A9" s="187" t="s">
        <v>939</v>
      </c>
      <c r="B9" s="187"/>
      <c r="C9" s="187"/>
      <c r="D9" s="187"/>
      <c r="E9" s="187"/>
      <c r="F9" s="187"/>
      <c r="G9" s="187"/>
      <c r="H9" s="187"/>
      <c r="I9" s="187"/>
    </row>
    <row r="10" spans="1:9" ht="15.6" x14ac:dyDescent="0.3">
      <c r="A10" s="187"/>
      <c r="B10" s="187"/>
      <c r="C10" s="187"/>
      <c r="D10" s="187"/>
      <c r="E10" s="187"/>
      <c r="F10" s="187"/>
      <c r="G10" s="187"/>
      <c r="H10" s="187"/>
      <c r="I10" s="187"/>
    </row>
    <row r="11" spans="1:9" ht="15.6" x14ac:dyDescent="0.3">
      <c r="A11" s="187"/>
      <c r="B11" s="677" t="s">
        <v>862</v>
      </c>
      <c r="C11" s="677"/>
      <c r="D11" s="677"/>
      <c r="E11" s="677"/>
      <c r="F11" s="677"/>
      <c r="G11" s="677"/>
      <c r="H11" s="640">
        <v>200</v>
      </c>
      <c r="I11" s="187" t="s">
        <v>863</v>
      </c>
    </row>
    <row r="12" spans="1:9" ht="15.6" x14ac:dyDescent="0.3">
      <c r="A12" s="187"/>
      <c r="B12" s="635" t="s">
        <v>864</v>
      </c>
      <c r="C12" s="635"/>
      <c r="D12" s="635"/>
      <c r="E12" s="635"/>
      <c r="F12" s="187"/>
      <c r="G12" s="635"/>
      <c r="H12" s="641">
        <v>1.7000000000000001E-2</v>
      </c>
      <c r="I12" s="187"/>
    </row>
    <row r="13" spans="1:9" ht="15.6" x14ac:dyDescent="0.3">
      <c r="A13" s="187"/>
      <c r="B13" s="635"/>
      <c r="C13" s="635"/>
      <c r="D13" s="635"/>
      <c r="E13" s="635"/>
      <c r="F13" s="187"/>
      <c r="G13" s="635"/>
      <c r="H13" s="190"/>
      <c r="I13" s="187"/>
    </row>
    <row r="14" spans="1:9" ht="15.6" x14ac:dyDescent="0.3">
      <c r="A14" s="187"/>
      <c r="B14" s="635" t="s">
        <v>865</v>
      </c>
      <c r="C14" s="635"/>
      <c r="D14" s="635"/>
      <c r="E14" s="635"/>
      <c r="F14" s="635"/>
      <c r="G14" s="635"/>
      <c r="H14" s="187"/>
      <c r="I14" s="187"/>
    </row>
    <row r="15" spans="1:9" ht="15.6" x14ac:dyDescent="0.3">
      <c r="A15" s="187"/>
      <c r="B15" s="635" t="s">
        <v>866</v>
      </c>
      <c r="C15" s="635"/>
      <c r="D15" s="635"/>
      <c r="E15" s="635"/>
      <c r="F15" s="635"/>
      <c r="G15" s="635"/>
      <c r="H15" s="187"/>
      <c r="I15" s="187"/>
    </row>
    <row r="16" spans="1:9" ht="15.6" x14ac:dyDescent="0.3">
      <c r="A16" s="187"/>
      <c r="B16" s="635" t="s">
        <v>867</v>
      </c>
      <c r="C16" s="635"/>
      <c r="D16" s="635"/>
      <c r="E16" s="635"/>
      <c r="F16" s="635"/>
      <c r="G16" s="635"/>
      <c r="H16" s="187"/>
      <c r="I16" s="187"/>
    </row>
    <row r="17" spans="2:11" ht="15.6" x14ac:dyDescent="0.3">
      <c r="B17" s="635"/>
      <c r="C17" s="635"/>
      <c r="D17" s="635"/>
      <c r="E17" s="635"/>
      <c r="F17" s="635"/>
      <c r="G17" s="635"/>
      <c r="H17" s="187"/>
      <c r="I17" s="187"/>
      <c r="J17" s="187"/>
    </row>
    <row r="18" spans="2:11" ht="15.6" x14ac:dyDescent="0.3">
      <c r="B18" s="635" t="s">
        <v>868</v>
      </c>
      <c r="C18" s="635"/>
      <c r="D18" s="635"/>
      <c r="E18" s="635"/>
      <c r="F18" s="635"/>
      <c r="G18" s="635"/>
      <c r="H18" s="187"/>
      <c r="I18" s="187"/>
      <c r="J18" s="187"/>
    </row>
    <row r="19" spans="2:11" ht="15.6" x14ac:dyDescent="0.3">
      <c r="B19" s="635"/>
      <c r="C19" s="635"/>
      <c r="D19" s="635"/>
      <c r="E19" s="635"/>
      <c r="F19" s="635"/>
      <c r="G19" s="635"/>
      <c r="H19" s="187"/>
      <c r="I19" s="187"/>
      <c r="J19" s="187"/>
    </row>
    <row r="20" spans="2:11" ht="15.6" x14ac:dyDescent="0.3">
      <c r="B20" s="643" t="s">
        <v>869</v>
      </c>
      <c r="C20" s="635"/>
      <c r="D20" s="635"/>
      <c r="E20" s="635"/>
      <c r="F20" s="635"/>
      <c r="G20" s="635"/>
      <c r="H20" s="187"/>
      <c r="I20" s="187"/>
      <c r="J20" s="187"/>
    </row>
    <row r="21" spans="2:11" ht="15.6" x14ac:dyDescent="0.3">
      <c r="B21" s="635"/>
      <c r="C21" s="635"/>
      <c r="D21" s="635"/>
      <c r="E21" s="635"/>
      <c r="F21" s="635"/>
      <c r="G21" s="635"/>
      <c r="H21" s="187"/>
      <c r="I21" s="187"/>
      <c r="J21" s="187"/>
    </row>
    <row r="22" spans="2:11" ht="15.6" x14ac:dyDescent="0.3">
      <c r="B22" s="635"/>
      <c r="C22" s="635"/>
      <c r="D22" s="635"/>
      <c r="E22" s="635"/>
      <c r="F22" s="635"/>
      <c r="G22" s="635"/>
      <c r="H22" s="187"/>
      <c r="I22" s="187"/>
      <c r="J22" s="187"/>
    </row>
    <row r="23" spans="2:11" ht="15.6" x14ac:dyDescent="0.3">
      <c r="B23" s="635" t="s">
        <v>870</v>
      </c>
      <c r="C23" s="635"/>
      <c r="D23" s="635"/>
      <c r="E23" s="635"/>
      <c r="F23" s="635"/>
      <c r="G23" s="635"/>
      <c r="H23" s="187"/>
      <c r="I23" s="637">
        <v>29</v>
      </c>
      <c r="J23" s="187"/>
    </row>
    <row r="24" spans="2:11" ht="15.6" x14ac:dyDescent="0.3">
      <c r="B24" s="635"/>
      <c r="C24" s="635"/>
      <c r="D24" s="635"/>
      <c r="E24" s="635"/>
      <c r="F24" s="635"/>
      <c r="G24" s="635"/>
      <c r="H24" s="187"/>
      <c r="I24" s="187"/>
      <c r="J24" s="187"/>
    </row>
    <row r="25" spans="2:11" ht="15.6" x14ac:dyDescent="0.3">
      <c r="B25" s="635" t="s">
        <v>871</v>
      </c>
      <c r="C25" s="635"/>
      <c r="D25" s="635"/>
      <c r="E25" s="635"/>
      <c r="F25" s="635"/>
      <c r="G25" s="635"/>
      <c r="H25" s="187"/>
      <c r="I25" s="642">
        <v>0.15</v>
      </c>
      <c r="J25" s="187" t="s">
        <v>872</v>
      </c>
    </row>
    <row r="26" spans="2:11" ht="15.6" x14ac:dyDescent="0.3">
      <c r="B26" s="635"/>
      <c r="C26" s="635"/>
      <c r="D26" s="635"/>
      <c r="E26" s="635"/>
      <c r="F26" s="635"/>
      <c r="G26" s="635"/>
      <c r="H26" s="187"/>
      <c r="I26" s="187"/>
      <c r="J26" s="187" t="s">
        <v>873</v>
      </c>
    </row>
    <row r="27" spans="2:11" ht="15.6" x14ac:dyDescent="0.3">
      <c r="B27" s="635" t="s">
        <v>874</v>
      </c>
      <c r="C27" s="635"/>
      <c r="D27" s="635"/>
      <c r="E27" s="635"/>
      <c r="F27" s="635"/>
      <c r="G27" s="635"/>
      <c r="H27" s="187"/>
      <c r="I27" s="637">
        <v>7</v>
      </c>
      <c r="J27" s="187"/>
    </row>
    <row r="28" spans="2:11" ht="15.6" x14ac:dyDescent="0.3">
      <c r="B28" s="635"/>
      <c r="C28" s="635"/>
      <c r="D28" s="635"/>
      <c r="E28" s="635"/>
      <c r="F28" s="635"/>
      <c r="G28" s="635"/>
      <c r="H28" s="187"/>
      <c r="I28" s="187"/>
      <c r="J28" s="187"/>
    </row>
    <row r="29" spans="2:11" ht="15.6" x14ac:dyDescent="0.3">
      <c r="B29" s="635" t="s">
        <v>875</v>
      </c>
      <c r="C29" s="635"/>
      <c r="D29" s="635"/>
      <c r="E29" s="635"/>
      <c r="F29" s="635"/>
      <c r="G29" s="635"/>
      <c r="H29" s="187"/>
      <c r="I29" s="637">
        <v>4.3499999999999996</v>
      </c>
      <c r="J29" s="187" t="s">
        <v>876</v>
      </c>
    </row>
    <row r="30" spans="2:11" ht="15.6" x14ac:dyDescent="0.3">
      <c r="B30" s="635"/>
      <c r="C30" s="635"/>
      <c r="D30" s="635"/>
      <c r="E30" s="635"/>
      <c r="F30" s="635"/>
      <c r="G30" s="635"/>
      <c r="H30" s="187"/>
      <c r="I30" s="187"/>
      <c r="J30" s="187"/>
    </row>
    <row r="31" spans="2:11" ht="15.6" x14ac:dyDescent="0.3">
      <c r="B31" s="635" t="s">
        <v>877</v>
      </c>
      <c r="C31" s="635"/>
      <c r="D31" s="635"/>
      <c r="E31" s="635"/>
      <c r="F31" s="635"/>
      <c r="G31" s="635"/>
      <c r="H31" s="187" t="s">
        <v>878</v>
      </c>
      <c r="I31" s="637">
        <f>22*7*I29</f>
        <v>669.9</v>
      </c>
      <c r="J31" s="187"/>
      <c r="K31" t="s">
        <v>935</v>
      </c>
    </row>
    <row r="32" spans="2:11" ht="15.6" x14ac:dyDescent="0.3">
      <c r="B32" s="635"/>
      <c r="C32" s="635"/>
      <c r="D32" s="635"/>
      <c r="E32" s="635"/>
      <c r="F32" s="635"/>
      <c r="G32" s="635"/>
      <c r="H32" s="187"/>
      <c r="I32" s="187"/>
      <c r="J32" s="187"/>
    </row>
    <row r="33" spans="2:10" ht="15.6" x14ac:dyDescent="0.3">
      <c r="B33" s="635" t="s">
        <v>879</v>
      </c>
      <c r="C33" s="635"/>
      <c r="D33" s="635"/>
      <c r="E33" s="635"/>
      <c r="F33" s="635"/>
      <c r="G33" s="635"/>
      <c r="H33" s="187" t="s">
        <v>936</v>
      </c>
      <c r="I33" s="198">
        <f>+I29*I31</f>
        <v>2914.0649999999996</v>
      </c>
      <c r="J33" s="187"/>
    </row>
    <row r="34" spans="2:10" ht="15.6" x14ac:dyDescent="0.3">
      <c r="B34" s="635"/>
      <c r="C34" s="635"/>
      <c r="D34" s="635"/>
      <c r="E34" s="635"/>
      <c r="F34" s="635"/>
      <c r="G34" s="635"/>
      <c r="H34" s="187"/>
      <c r="I34" s="187"/>
      <c r="J34" s="187"/>
    </row>
    <row r="35" spans="2:10" ht="15.6" x14ac:dyDescent="0.3">
      <c r="B35" s="635" t="s">
        <v>880</v>
      </c>
      <c r="C35" s="635"/>
      <c r="D35" s="635"/>
      <c r="E35" s="635" t="s">
        <v>881</v>
      </c>
      <c r="F35" s="635"/>
      <c r="G35" s="635"/>
      <c r="H35" s="187"/>
      <c r="I35" s="637">
        <v>23</v>
      </c>
      <c r="J35" s="187"/>
    </row>
    <row r="36" spans="2:10" ht="15.6" x14ac:dyDescent="0.3">
      <c r="B36" s="635"/>
      <c r="C36" s="635"/>
      <c r="D36" s="635"/>
      <c r="E36" s="635"/>
      <c r="F36" s="635"/>
      <c r="G36" s="635"/>
      <c r="H36" s="187"/>
      <c r="I36" s="187"/>
      <c r="J36" s="187"/>
    </row>
    <row r="37" spans="2:10" ht="15.6" x14ac:dyDescent="0.3">
      <c r="B37" s="635" t="s">
        <v>920</v>
      </c>
      <c r="C37" s="635"/>
      <c r="D37" s="635"/>
      <c r="E37" s="635"/>
      <c r="F37" s="635"/>
      <c r="G37" s="635"/>
      <c r="H37" s="187"/>
      <c r="I37" s="637">
        <f>23*7</f>
        <v>161</v>
      </c>
      <c r="J37" s="187" t="s">
        <v>882</v>
      </c>
    </row>
    <row r="38" spans="2:10" ht="15.6" x14ac:dyDescent="0.3">
      <c r="B38" s="635"/>
      <c r="C38" s="635"/>
      <c r="D38" s="635"/>
      <c r="E38" s="635"/>
      <c r="F38" s="635"/>
      <c r="G38" s="635"/>
      <c r="H38" s="187"/>
      <c r="I38" s="187"/>
      <c r="J38" s="187"/>
    </row>
    <row r="39" spans="2:10" ht="15.6" x14ac:dyDescent="0.3">
      <c r="B39" s="635" t="s">
        <v>883</v>
      </c>
      <c r="C39" s="635"/>
      <c r="D39" s="635"/>
      <c r="E39" s="635"/>
      <c r="F39" s="635"/>
      <c r="G39" s="680" t="s">
        <v>934</v>
      </c>
      <c r="H39" s="681"/>
      <c r="I39" s="637">
        <f>+I33*I37/I31</f>
        <v>700.34999999999991</v>
      </c>
      <c r="J39" s="187"/>
    </row>
    <row r="40" spans="2:10" ht="15.6" x14ac:dyDescent="0.3">
      <c r="B40" s="635"/>
      <c r="C40" s="635"/>
      <c r="D40" s="635"/>
      <c r="E40" s="635"/>
      <c r="F40" s="635"/>
      <c r="G40" s="635"/>
      <c r="H40" s="187"/>
      <c r="I40" s="187"/>
      <c r="J40" s="187"/>
    </row>
    <row r="41" spans="2:10" ht="15.6" x14ac:dyDescent="0.3">
      <c r="B41" s="187" t="s">
        <v>884</v>
      </c>
      <c r="C41" s="635"/>
      <c r="D41" s="635"/>
      <c r="E41" s="635"/>
      <c r="F41" s="635"/>
      <c r="G41" s="635"/>
      <c r="H41" s="187"/>
      <c r="I41" s="187"/>
      <c r="J41" s="187"/>
    </row>
    <row r="42" spans="2:10" ht="15.6" x14ac:dyDescent="0.3">
      <c r="B42" s="635"/>
      <c r="C42" s="635"/>
      <c r="D42" s="635"/>
      <c r="E42" s="635"/>
      <c r="F42" s="635"/>
      <c r="G42" s="635"/>
      <c r="H42" s="187"/>
      <c r="I42" s="187"/>
      <c r="J42" s="187"/>
    </row>
    <row r="43" spans="2:10" ht="15.6" x14ac:dyDescent="0.3">
      <c r="B43" s="187"/>
      <c r="C43" s="187"/>
      <c r="D43" s="187"/>
      <c r="E43" s="187"/>
      <c r="F43" s="187"/>
      <c r="G43" s="187"/>
      <c r="H43" s="187"/>
      <c r="I43" s="187"/>
      <c r="J43" s="187"/>
    </row>
    <row r="44" spans="2:10" ht="15.6" x14ac:dyDescent="0.3">
      <c r="B44" s="187" t="s">
        <v>885</v>
      </c>
      <c r="C44" s="187"/>
      <c r="D44" s="187"/>
      <c r="E44" s="187"/>
      <c r="F44" s="187"/>
      <c r="G44" s="187"/>
      <c r="H44" s="187"/>
      <c r="I44" s="187"/>
      <c r="J44" s="187"/>
    </row>
    <row r="45" spans="2:10" ht="15.6" x14ac:dyDescent="0.3">
      <c r="B45" s="187"/>
      <c r="C45" s="187"/>
      <c r="D45" s="187"/>
      <c r="E45" s="187"/>
      <c r="F45" s="187"/>
      <c r="G45" s="187"/>
      <c r="H45" s="187"/>
      <c r="I45" s="187"/>
      <c r="J45" s="187"/>
    </row>
    <row r="46" spans="2:10" ht="15.6" x14ac:dyDescent="0.3">
      <c r="B46" s="187" t="s">
        <v>886</v>
      </c>
      <c r="C46" s="27"/>
      <c r="D46" s="27"/>
      <c r="E46" s="27"/>
      <c r="F46" s="27"/>
      <c r="G46" s="27"/>
      <c r="H46" s="27"/>
      <c r="I46" s="27"/>
      <c r="J46" s="27"/>
    </row>
    <row r="47" spans="2:10" ht="15.6" x14ac:dyDescent="0.3">
      <c r="B47" s="27"/>
      <c r="C47" s="27"/>
      <c r="D47" s="27"/>
      <c r="E47" s="27"/>
      <c r="F47" s="27"/>
      <c r="G47" s="27"/>
      <c r="H47" s="27"/>
      <c r="I47" s="27"/>
      <c r="J47" s="27"/>
    </row>
    <row r="48" spans="2:10" ht="15.6" x14ac:dyDescent="0.3">
      <c r="B48" s="187" t="s">
        <v>937</v>
      </c>
      <c r="C48" s="27"/>
      <c r="D48" s="27"/>
      <c r="E48" s="27"/>
      <c r="F48" s="27"/>
      <c r="G48" s="27"/>
      <c r="H48" s="27"/>
      <c r="I48" s="636">
        <f>I29*23*7</f>
        <v>700.35</v>
      </c>
      <c r="J48" s="27"/>
    </row>
    <row r="49" spans="2:11" ht="15.6" x14ac:dyDescent="0.3">
      <c r="B49" s="27"/>
      <c r="C49" s="27"/>
      <c r="D49" s="27"/>
      <c r="E49" s="27"/>
      <c r="F49" s="27"/>
      <c r="G49" s="27"/>
      <c r="H49" s="27"/>
      <c r="I49" s="27"/>
      <c r="J49" s="27"/>
      <c r="K49" s="27"/>
    </row>
    <row r="50" spans="2:11" ht="15.6" x14ac:dyDescent="0.3">
      <c r="B50" s="187" t="s">
        <v>887</v>
      </c>
      <c r="C50" s="187"/>
      <c r="D50" s="187"/>
      <c r="E50" s="187"/>
      <c r="F50" s="187"/>
      <c r="G50" s="187"/>
      <c r="H50" s="187"/>
      <c r="I50" s="187"/>
      <c r="J50" s="187"/>
      <c r="K50" s="27"/>
    </row>
    <row r="51" spans="2:11" ht="15.6" x14ac:dyDescent="0.3">
      <c r="B51" s="187"/>
      <c r="C51" s="187" t="s">
        <v>888</v>
      </c>
      <c r="D51" s="187"/>
      <c r="E51" s="187"/>
      <c r="F51" s="187"/>
      <c r="G51" s="187" t="s">
        <v>921</v>
      </c>
      <c r="H51" s="187"/>
      <c r="I51" s="637">
        <f>29*15%*23*7</f>
        <v>700.35</v>
      </c>
      <c r="J51" s="187"/>
      <c r="K51" s="27" t="s">
        <v>889</v>
      </c>
    </row>
    <row r="52" spans="2:11" ht="15.6" x14ac:dyDescent="0.3">
      <c r="B52" s="187"/>
      <c r="C52" s="187"/>
      <c r="D52" s="187"/>
      <c r="E52" s="187"/>
      <c r="F52" s="187"/>
      <c r="G52" s="187"/>
      <c r="H52" s="187"/>
      <c r="I52" s="187"/>
      <c r="J52" s="187"/>
      <c r="K52" s="27"/>
    </row>
    <row r="53" spans="2:11" ht="15.6" x14ac:dyDescent="0.3">
      <c r="B53" s="187"/>
      <c r="C53" s="678" t="s">
        <v>890</v>
      </c>
      <c r="D53" s="678"/>
      <c r="E53" s="678"/>
      <c r="F53" s="678"/>
      <c r="G53" s="678"/>
      <c r="H53" s="679"/>
      <c r="I53" s="639">
        <f>I48-I51</f>
        <v>0</v>
      </c>
      <c r="J53" s="187"/>
      <c r="K53" s="187" t="s">
        <v>891</v>
      </c>
    </row>
    <row r="54" spans="2:11" ht="15.6" x14ac:dyDescent="0.3">
      <c r="B54" s="187"/>
      <c r="C54" s="187"/>
      <c r="D54" s="187"/>
      <c r="E54" s="187"/>
      <c r="F54" s="187"/>
      <c r="G54" s="187"/>
      <c r="H54" s="187"/>
      <c r="I54" s="187"/>
      <c r="J54" s="187"/>
      <c r="K54" s="27"/>
    </row>
    <row r="55" spans="2:11" ht="15.6" x14ac:dyDescent="0.3">
      <c r="B55" s="187"/>
      <c r="C55" s="187"/>
      <c r="D55" s="187" t="s">
        <v>892</v>
      </c>
      <c r="E55" s="187"/>
      <c r="F55" s="187"/>
      <c r="G55" s="187"/>
      <c r="H55" s="187"/>
      <c r="I55" s="187"/>
      <c r="J55" s="187"/>
      <c r="K55" s="27"/>
    </row>
    <row r="56" spans="2:11" ht="15.6" x14ac:dyDescent="0.3">
      <c r="B56" s="187"/>
      <c r="C56" s="187"/>
      <c r="D56" s="187" t="s">
        <v>893</v>
      </c>
      <c r="E56" s="187"/>
      <c r="F56" s="187"/>
      <c r="G56" s="187"/>
      <c r="H56" s="187"/>
      <c r="I56" s="187"/>
      <c r="J56" s="187"/>
      <c r="K56" s="27"/>
    </row>
    <row r="57" spans="2:11" ht="15.6" x14ac:dyDescent="0.3">
      <c r="B57" s="187"/>
      <c r="C57" s="187"/>
      <c r="D57" s="187" t="s">
        <v>894</v>
      </c>
      <c r="E57" s="187"/>
      <c r="F57" s="187"/>
      <c r="G57" s="187"/>
      <c r="H57" s="187"/>
      <c r="I57" s="187"/>
      <c r="J57" s="187"/>
      <c r="K57" s="27"/>
    </row>
    <row r="58" spans="2:11" ht="15.6" x14ac:dyDescent="0.3">
      <c r="B58" s="187"/>
      <c r="C58" s="187"/>
      <c r="D58" s="187" t="s">
        <v>895</v>
      </c>
      <c r="E58" s="187"/>
      <c r="F58" s="187"/>
      <c r="G58" s="187"/>
      <c r="H58" s="187"/>
      <c r="I58" s="187"/>
      <c r="J58" s="187"/>
      <c r="K58" s="27"/>
    </row>
    <row r="59" spans="2:11" ht="15.6" x14ac:dyDescent="0.3">
      <c r="B59" s="187"/>
      <c r="C59" s="187"/>
      <c r="D59" s="187" t="s">
        <v>896</v>
      </c>
      <c r="E59" s="187"/>
      <c r="F59" s="187"/>
      <c r="G59" s="187"/>
      <c r="H59" s="187"/>
      <c r="I59" s="187"/>
      <c r="J59" s="187"/>
      <c r="K59" s="27"/>
    </row>
    <row r="60" spans="2:11" ht="15.6" x14ac:dyDescent="0.3">
      <c r="B60" s="187"/>
      <c r="C60" s="187"/>
      <c r="D60" s="187" t="s">
        <v>897</v>
      </c>
      <c r="E60" s="187"/>
      <c r="F60" s="187"/>
      <c r="G60" s="187"/>
      <c r="H60" s="187"/>
      <c r="I60" s="187"/>
      <c r="J60" s="187"/>
      <c r="K60" s="27"/>
    </row>
    <row r="61" spans="2:11" ht="15.6" x14ac:dyDescent="0.3">
      <c r="B61" s="187"/>
      <c r="C61" s="187"/>
      <c r="D61" s="187" t="s">
        <v>898</v>
      </c>
      <c r="E61" s="187"/>
      <c r="F61" s="187"/>
      <c r="G61" s="187"/>
      <c r="H61" s="187"/>
      <c r="I61" s="187"/>
      <c r="J61" s="187"/>
      <c r="K61" s="27"/>
    </row>
    <row r="62" spans="2:11" ht="15.6" x14ac:dyDescent="0.3">
      <c r="B62" s="187"/>
      <c r="C62" s="187"/>
      <c r="D62" s="187" t="s">
        <v>899</v>
      </c>
      <c r="E62" s="187"/>
      <c r="F62" s="187"/>
      <c r="G62" s="187"/>
      <c r="H62" s="187"/>
      <c r="I62" s="187"/>
      <c r="J62" s="187"/>
      <c r="K62" s="27"/>
    </row>
    <row r="63" spans="2:11" ht="15.6" x14ac:dyDescent="0.3">
      <c r="B63" s="187"/>
      <c r="C63" s="187"/>
      <c r="D63" s="187" t="s">
        <v>900</v>
      </c>
      <c r="E63" s="187"/>
      <c r="F63" s="187"/>
      <c r="G63" s="187"/>
      <c r="H63" s="187"/>
      <c r="I63" s="187"/>
      <c r="J63" s="187"/>
      <c r="K63" s="27"/>
    </row>
    <row r="64" spans="2:11" ht="15.6" x14ac:dyDescent="0.3">
      <c r="B64" s="187"/>
      <c r="C64" s="187"/>
      <c r="D64" s="187" t="s">
        <v>901</v>
      </c>
      <c r="E64" s="187"/>
      <c r="F64" s="187"/>
      <c r="G64" s="187"/>
      <c r="H64" s="187"/>
      <c r="I64" s="187"/>
      <c r="J64" s="187"/>
      <c r="K64" s="27"/>
    </row>
    <row r="65" spans="2:16" ht="15.6" x14ac:dyDescent="0.3">
      <c r="B65" s="187"/>
      <c r="C65" s="187"/>
      <c r="D65" s="187" t="s">
        <v>902</v>
      </c>
      <c r="E65" s="187"/>
      <c r="F65" s="187"/>
      <c r="G65" s="187"/>
      <c r="H65" s="187"/>
      <c r="I65" s="187"/>
      <c r="J65" s="187"/>
      <c r="K65" s="27"/>
      <c r="L65" s="27"/>
      <c r="M65" s="27"/>
      <c r="N65" s="27"/>
      <c r="O65" s="27"/>
      <c r="P65" s="27"/>
    </row>
    <row r="66" spans="2:16" ht="15.6" x14ac:dyDescent="0.3">
      <c r="B66" s="187"/>
      <c r="C66" s="187" t="s">
        <v>903</v>
      </c>
      <c r="D66" s="187"/>
      <c r="E66" s="187"/>
      <c r="F66" s="187"/>
      <c r="G66" s="187"/>
      <c r="H66" s="187"/>
      <c r="I66" s="187"/>
      <c r="J66" s="187"/>
      <c r="K66" s="27"/>
      <c r="L66" s="27"/>
      <c r="M66" s="27"/>
      <c r="N66" s="27"/>
      <c r="O66" s="27"/>
      <c r="P66" s="27"/>
    </row>
    <row r="67" spans="2:16" x14ac:dyDescent="0.3">
      <c r="D67" s="58" t="s">
        <v>904</v>
      </c>
    </row>
    <row r="68" spans="2:16" x14ac:dyDescent="0.3">
      <c r="D68" s="58" t="s">
        <v>73</v>
      </c>
    </row>
    <row r="69" spans="2:16" x14ac:dyDescent="0.3">
      <c r="D69" s="58" t="s">
        <v>905</v>
      </c>
    </row>
    <row r="71" spans="2:16" x14ac:dyDescent="0.3">
      <c r="C71" s="58" t="s">
        <v>906</v>
      </c>
    </row>
    <row r="72" spans="2:16" x14ac:dyDescent="0.3">
      <c r="C72" s="58"/>
    </row>
    <row r="73" spans="2:16" ht="15.6" x14ac:dyDescent="0.3">
      <c r="C73" s="187" t="s">
        <v>907</v>
      </c>
    </row>
    <row r="74" spans="2:16" ht="15.6" x14ac:dyDescent="0.3">
      <c r="C74" s="187" t="s">
        <v>908</v>
      </c>
    </row>
    <row r="76" spans="2:16" ht="15.6" x14ac:dyDescent="0.3">
      <c r="B76" s="638" t="s">
        <v>909</v>
      </c>
      <c r="M76" s="645" t="s">
        <v>910</v>
      </c>
      <c r="N76" s="645"/>
      <c r="O76" s="645"/>
      <c r="P76" s="645"/>
    </row>
    <row r="77" spans="2:16" x14ac:dyDescent="0.3">
      <c r="M77" s="645" t="s">
        <v>911</v>
      </c>
      <c r="N77" s="645"/>
      <c r="O77" s="645"/>
      <c r="P77" s="645"/>
    </row>
    <row r="78" spans="2:16" ht="15.6" x14ac:dyDescent="0.3">
      <c r="B78" s="187" t="s">
        <v>912</v>
      </c>
      <c r="M78" s="645" t="s">
        <v>913</v>
      </c>
      <c r="N78" s="645"/>
      <c r="O78" s="645"/>
      <c r="P78" s="645"/>
    </row>
    <row r="79" spans="2:16" ht="15.6" x14ac:dyDescent="0.3">
      <c r="B79" s="187" t="s">
        <v>914</v>
      </c>
      <c r="M79" s="645" t="s">
        <v>915</v>
      </c>
      <c r="N79" s="645"/>
      <c r="O79" s="645"/>
      <c r="P79" s="645"/>
    </row>
    <row r="81" spans="2:5" ht="15.6" x14ac:dyDescent="0.3">
      <c r="B81" s="635" t="s">
        <v>868</v>
      </c>
    </row>
    <row r="82" spans="2:5" x14ac:dyDescent="0.3">
      <c r="D82" s="657" t="s">
        <v>916</v>
      </c>
      <c r="E82" s="657"/>
    </row>
    <row r="84" spans="2:5" ht="15.6" x14ac:dyDescent="0.3">
      <c r="B84" s="187" t="s">
        <v>917</v>
      </c>
      <c r="C84" s="187"/>
    </row>
    <row r="85" spans="2:5" ht="15.6" x14ac:dyDescent="0.3">
      <c r="B85" s="187"/>
      <c r="C85" s="187"/>
    </row>
    <row r="86" spans="2:5" ht="15.6" x14ac:dyDescent="0.3">
      <c r="B86" s="187"/>
      <c r="C86" s="187" t="s">
        <v>918</v>
      </c>
    </row>
    <row r="87" spans="2:5" ht="15.6" x14ac:dyDescent="0.3">
      <c r="B87" s="187"/>
      <c r="C87" s="187"/>
    </row>
    <row r="88" spans="2:5" ht="15.6" x14ac:dyDescent="0.3">
      <c r="B88" s="187"/>
      <c r="C88" s="187"/>
    </row>
    <row r="89" spans="2:5" ht="15.6" x14ac:dyDescent="0.3">
      <c r="B89" s="187"/>
      <c r="C89" s="187"/>
    </row>
    <row r="90" spans="2:5" ht="15.6" x14ac:dyDescent="0.3">
      <c r="B90" s="187"/>
      <c r="C90" s="187"/>
    </row>
    <row r="91" spans="2:5" ht="15.6" x14ac:dyDescent="0.3">
      <c r="B91" s="187"/>
      <c r="C91" s="187"/>
    </row>
    <row r="115" spans="5:5" x14ac:dyDescent="0.3">
      <c r="E115" s="644"/>
    </row>
  </sheetData>
  <mergeCells count="4">
    <mergeCell ref="B11:G11"/>
    <mergeCell ref="C53:H53"/>
    <mergeCell ref="G39:H39"/>
    <mergeCell ref="D82:E82"/>
  </mergeCells>
  <printOptions horizontalCentered="1" verticalCentered="1"/>
  <pageMargins left="0.11811023622047245" right="0.11811023622047245" top="0.15748031496062992" bottom="0.15748031496062992" header="0.31496062992125984" footer="0.31496062992125984"/>
  <pageSetup paperSize="9" scale="80" orientation="landscape" horizontalDpi="4294967293" verticalDpi="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1" workbookViewId="0">
      <selection activeCell="F3" sqref="F3"/>
    </sheetView>
  </sheetViews>
  <sheetFormatPr baseColWidth="10" defaultColWidth="11.44140625" defaultRowHeight="15.6" x14ac:dyDescent="0.3"/>
  <cols>
    <col min="1" max="1" width="4.88671875" style="25" customWidth="1"/>
    <col min="2" max="2" width="2.44140625" style="25" customWidth="1"/>
    <col min="3" max="3" width="31.5546875" style="25" customWidth="1"/>
    <col min="4" max="4" width="29.5546875" style="25" customWidth="1"/>
    <col min="5" max="5" width="35.5546875" style="25" customWidth="1"/>
    <col min="6" max="6" width="5.109375" style="25" customWidth="1"/>
    <col min="7" max="7" width="33.33203125" style="185" customWidth="1"/>
    <col min="8" max="8" width="18.44140625" style="185" customWidth="1"/>
    <col min="9" max="10" width="11.44140625" style="25" hidden="1" customWidth="1"/>
    <col min="11" max="11" width="19.109375" style="25" hidden="1" customWidth="1"/>
    <col min="12" max="16384" width="11.44140625" style="25"/>
  </cols>
  <sheetData>
    <row r="1" spans="3:13" ht="12.75" customHeight="1" x14ac:dyDescent="0.3"/>
    <row r="2" spans="3:13" x14ac:dyDescent="0.3">
      <c r="C2" s="394" t="s">
        <v>325</v>
      </c>
    </row>
    <row r="3" spans="3:13" ht="12.75" customHeight="1" x14ac:dyDescent="0.3"/>
    <row r="4" spans="3:13" ht="21.75" customHeight="1" x14ac:dyDescent="0.3">
      <c r="C4" s="395" t="s">
        <v>326</v>
      </c>
      <c r="D4" s="652"/>
      <c r="E4" s="652"/>
      <c r="F4" s="652"/>
      <c r="G4" s="694" t="s">
        <v>929</v>
      </c>
      <c r="H4" s="694"/>
      <c r="I4"/>
      <c r="J4"/>
      <c r="K4"/>
      <c r="L4"/>
      <c r="M4"/>
    </row>
    <row r="5" spans="3:13" ht="21.75" customHeight="1" x14ac:dyDescent="0.3">
      <c r="C5" s="396" t="s">
        <v>327</v>
      </c>
      <c r="D5"/>
      <c r="E5"/>
      <c r="F5"/>
      <c r="G5" s="695" t="s">
        <v>930</v>
      </c>
      <c r="H5" s="695"/>
      <c r="I5"/>
      <c r="J5"/>
      <c r="K5"/>
      <c r="L5"/>
      <c r="M5"/>
    </row>
    <row r="6" spans="3:13" ht="21.75" customHeight="1" x14ac:dyDescent="0.3">
      <c r="C6" s="396" t="s">
        <v>328</v>
      </c>
      <c r="D6"/>
      <c r="E6"/>
      <c r="F6"/>
      <c r="G6" s="696">
        <v>34464426500029</v>
      </c>
      <c r="H6" s="696"/>
      <c r="I6"/>
      <c r="J6"/>
      <c r="K6"/>
      <c r="L6"/>
      <c r="M6"/>
    </row>
    <row r="7" spans="3:13" ht="21.75" customHeight="1" x14ac:dyDescent="0.3">
      <c r="C7" s="396" t="s">
        <v>329</v>
      </c>
      <c r="D7"/>
      <c r="E7"/>
      <c r="F7"/>
      <c r="G7" s="694" t="s">
        <v>931</v>
      </c>
      <c r="H7" s="694"/>
      <c r="I7"/>
      <c r="J7"/>
      <c r="K7"/>
      <c r="L7"/>
      <c r="M7"/>
    </row>
    <row r="8" spans="3:13" ht="51.75" customHeight="1" x14ac:dyDescent="0.3">
      <c r="C8" s="692" t="s">
        <v>330</v>
      </c>
      <c r="D8" s="693"/>
      <c r="E8" s="693"/>
      <c r="F8"/>
      <c r="G8" s="689" t="s">
        <v>314</v>
      </c>
      <c r="H8" s="689"/>
      <c r="I8"/>
      <c r="J8"/>
      <c r="K8"/>
      <c r="L8"/>
      <c r="M8"/>
    </row>
    <row r="9" spans="3:13" x14ac:dyDescent="0.3">
      <c r="C9" s="397" t="s">
        <v>331</v>
      </c>
      <c r="D9" s="653"/>
      <c r="E9" s="653"/>
      <c r="F9" s="653"/>
      <c r="G9" s="682">
        <v>200</v>
      </c>
      <c r="H9" s="682"/>
      <c r="I9"/>
      <c r="J9"/>
      <c r="K9"/>
      <c r="L9"/>
      <c r="M9"/>
    </row>
    <row r="10" spans="3:13" x14ac:dyDescent="0.3">
      <c r="C10" s="687"/>
      <c r="D10" s="687"/>
      <c r="E10" s="687"/>
      <c r="F10" s="687"/>
      <c r="G10" s="687"/>
      <c r="H10" s="687"/>
    </row>
    <row r="11" spans="3:13" ht="28.5" customHeight="1" x14ac:dyDescent="0.3">
      <c r="C11" s="398"/>
      <c r="D11" s="399"/>
      <c r="E11" s="688" t="s">
        <v>59</v>
      </c>
      <c r="F11" s="688"/>
      <c r="G11" s="400" t="s">
        <v>87</v>
      </c>
      <c r="H11" s="400" t="s">
        <v>88</v>
      </c>
    </row>
    <row r="12" spans="3:13" ht="19.8" hidden="1" customHeight="1" x14ac:dyDescent="0.3">
      <c r="C12" s="684" t="s">
        <v>399</v>
      </c>
      <c r="D12" s="684"/>
      <c r="E12" s="685"/>
      <c r="F12" s="686"/>
      <c r="G12" s="494"/>
      <c r="H12" s="494"/>
      <c r="I12" s="403"/>
      <c r="J12" s="403"/>
      <c r="K12" s="403"/>
      <c r="L12" s="403"/>
      <c r="M12" s="403"/>
    </row>
    <row r="13" spans="3:13" ht="19.8" hidden="1" customHeight="1" x14ac:dyDescent="0.3">
      <c r="C13" s="684" t="s">
        <v>400</v>
      </c>
      <c r="D13" s="684"/>
      <c r="E13" s="684"/>
      <c r="F13" s="684"/>
      <c r="G13" s="494"/>
      <c r="H13" s="494"/>
      <c r="I13" s="403"/>
      <c r="J13" s="403"/>
      <c r="K13" s="403"/>
      <c r="L13" s="403"/>
      <c r="M13" s="403"/>
    </row>
    <row r="14" spans="3:13" ht="20.25" hidden="1" customHeight="1" x14ac:dyDescent="0.3">
      <c r="C14" s="684"/>
      <c r="D14" s="684"/>
      <c r="E14" s="684"/>
      <c r="F14" s="684"/>
      <c r="G14" s="494"/>
      <c r="H14" s="494"/>
      <c r="I14" s="403"/>
      <c r="J14" s="403"/>
      <c r="K14" s="403"/>
      <c r="L14" s="403"/>
      <c r="M14" s="403"/>
    </row>
    <row r="15" spans="3:13" ht="20.25" hidden="1" customHeight="1" x14ac:dyDescent="0.3">
      <c r="C15" s="684" t="s">
        <v>201</v>
      </c>
      <c r="D15" s="684"/>
      <c r="E15" s="684" t="s">
        <v>332</v>
      </c>
      <c r="F15" s="684"/>
      <c r="G15" s="549"/>
      <c r="H15" s="549"/>
      <c r="I15" s="403"/>
      <c r="J15" s="403"/>
      <c r="K15" s="403"/>
      <c r="L15" s="403"/>
      <c r="M15" s="403"/>
    </row>
    <row r="16" spans="3:13" ht="20.25" hidden="1" customHeight="1" x14ac:dyDescent="0.3">
      <c r="C16" s="684" t="s">
        <v>333</v>
      </c>
      <c r="D16" s="684"/>
      <c r="E16" s="684" t="s">
        <v>332</v>
      </c>
      <c r="F16" s="684"/>
      <c r="G16" s="550"/>
      <c r="H16" s="549"/>
      <c r="I16" s="403"/>
      <c r="J16" s="403"/>
      <c r="K16" s="403"/>
      <c r="L16" s="403"/>
      <c r="M16" s="403"/>
    </row>
    <row r="17" spans="3:13" ht="20.25" hidden="1" customHeight="1" x14ac:dyDescent="0.3">
      <c r="C17" s="684" t="s">
        <v>407</v>
      </c>
      <c r="D17" s="684"/>
      <c r="E17" s="684"/>
      <c r="F17" s="684"/>
      <c r="G17" s="539"/>
      <c r="H17" s="539"/>
      <c r="I17" s="403"/>
      <c r="J17" s="403"/>
      <c r="K17" s="403"/>
      <c r="L17" s="403"/>
      <c r="M17" s="403"/>
    </row>
    <row r="18" spans="3:13" ht="20.25" hidden="1" customHeight="1" x14ac:dyDescent="0.3">
      <c r="C18" s="684" t="s">
        <v>401</v>
      </c>
      <c r="D18" s="684"/>
      <c r="E18" s="684" t="s">
        <v>402</v>
      </c>
      <c r="F18" s="684"/>
      <c r="G18" s="539"/>
      <c r="H18" s="539"/>
      <c r="I18" s="403"/>
      <c r="J18" s="403"/>
      <c r="K18" s="403"/>
      <c r="L18" s="403"/>
      <c r="M18" s="403"/>
    </row>
    <row r="19" spans="3:13" ht="20.25" hidden="1" customHeight="1" x14ac:dyDescent="0.3">
      <c r="C19" s="684"/>
      <c r="D19" s="684"/>
      <c r="E19" s="684"/>
      <c r="F19" s="684"/>
      <c r="G19" s="402"/>
      <c r="H19" s="402"/>
      <c r="I19" s="403"/>
      <c r="J19" s="403"/>
      <c r="K19" s="403"/>
      <c r="L19" s="404" t="s">
        <v>334</v>
      </c>
      <c r="M19" s="403"/>
    </row>
    <row r="20" spans="3:13" ht="20.25" hidden="1" customHeight="1" x14ac:dyDescent="0.3">
      <c r="C20" s="684"/>
      <c r="D20" s="684"/>
      <c r="E20" s="685"/>
      <c r="F20" s="686"/>
      <c r="G20" s="402"/>
      <c r="H20" s="402">
        <v>1.4999999999999999E-2</v>
      </c>
      <c r="I20" s="403"/>
      <c r="J20" s="403"/>
      <c r="K20" s="403"/>
      <c r="L20" s="404"/>
      <c r="M20" s="403"/>
    </row>
    <row r="21" spans="3:13" ht="20.25" customHeight="1" x14ac:dyDescent="0.3">
      <c r="C21" s="684" t="s">
        <v>335</v>
      </c>
      <c r="D21" s="684"/>
      <c r="E21" s="684" t="s">
        <v>332</v>
      </c>
      <c r="F21" s="684"/>
      <c r="G21" s="402"/>
      <c r="H21" s="494">
        <v>1.7000000000000001E-2</v>
      </c>
      <c r="I21" s="403"/>
      <c r="J21" s="403"/>
      <c r="K21" s="403"/>
      <c r="L21" s="403"/>
      <c r="M21" s="403"/>
    </row>
    <row r="22" spans="3:13" ht="20.25" customHeight="1" x14ac:dyDescent="0.3">
      <c r="C22" s="684" t="s">
        <v>336</v>
      </c>
      <c r="D22" s="684"/>
      <c r="E22" s="684" t="s">
        <v>332</v>
      </c>
      <c r="F22" s="684"/>
      <c r="G22" s="402"/>
      <c r="H22" s="494">
        <v>3.2000000000000001E-2</v>
      </c>
      <c r="I22" s="403"/>
      <c r="J22" s="403"/>
      <c r="K22" s="403"/>
      <c r="L22" s="403"/>
      <c r="M22" s="403"/>
    </row>
    <row r="23" spans="3:13" ht="16.5" customHeight="1" x14ac:dyDescent="0.3">
      <c r="I23" s="403"/>
      <c r="J23" s="403"/>
      <c r="K23" s="403"/>
      <c r="L23" s="403"/>
      <c r="M23" s="403"/>
    </row>
    <row r="24" spans="3:13" x14ac:dyDescent="0.3">
      <c r="I24" s="403"/>
      <c r="J24" s="403"/>
      <c r="K24" s="403"/>
      <c r="L24" s="406"/>
      <c r="M24" s="403"/>
    </row>
    <row r="25" spans="3:13" x14ac:dyDescent="0.3">
      <c r="G25" s="405"/>
      <c r="H25" s="405"/>
      <c r="I25" s="403"/>
      <c r="J25" s="403"/>
      <c r="K25" s="403"/>
      <c r="L25" s="406"/>
      <c r="M25" s="403"/>
    </row>
    <row r="26" spans="3:13" x14ac:dyDescent="0.3">
      <c r="C26" s="395" t="s">
        <v>337</v>
      </c>
      <c r="D26" s="407"/>
      <c r="E26" s="393" t="s">
        <v>198</v>
      </c>
    </row>
    <row r="27" spans="3:13" x14ac:dyDescent="0.3">
      <c r="C27" s="396" t="s">
        <v>338</v>
      </c>
      <c r="D27" s="408"/>
      <c r="E27" s="634" t="s">
        <v>925</v>
      </c>
    </row>
    <row r="28" spans="3:13" x14ac:dyDescent="0.3">
      <c r="C28" s="396" t="s">
        <v>327</v>
      </c>
      <c r="D28" s="408"/>
      <c r="E28" s="648" t="s">
        <v>926</v>
      </c>
    </row>
    <row r="29" spans="3:13" x14ac:dyDescent="0.3">
      <c r="C29" s="396" t="s">
        <v>339</v>
      </c>
      <c r="D29" s="408"/>
      <c r="E29" s="634" t="s">
        <v>927</v>
      </c>
    </row>
    <row r="30" spans="3:13" x14ac:dyDescent="0.3">
      <c r="C30" s="396" t="s">
        <v>340</v>
      </c>
      <c r="D30" s="408"/>
      <c r="E30" s="634"/>
    </row>
    <row r="31" spans="3:13" x14ac:dyDescent="0.3">
      <c r="C31" s="396" t="s">
        <v>341</v>
      </c>
      <c r="D31" s="408"/>
      <c r="E31" s="649" t="s">
        <v>726</v>
      </c>
    </row>
    <row r="32" spans="3:13" x14ac:dyDescent="0.3">
      <c r="C32" s="396" t="s">
        <v>342</v>
      </c>
      <c r="D32" s="408"/>
      <c r="E32" s="634" t="s">
        <v>924</v>
      </c>
      <c r="G32" s="185" t="s">
        <v>768</v>
      </c>
    </row>
    <row r="33" spans="3:7" x14ac:dyDescent="0.3">
      <c r="C33" s="396" t="s">
        <v>343</v>
      </c>
      <c r="D33" s="408"/>
      <c r="E33" s="634">
        <v>1</v>
      </c>
      <c r="G33" s="185" t="s">
        <v>769</v>
      </c>
    </row>
    <row r="34" spans="3:7" x14ac:dyDescent="0.3">
      <c r="C34" s="397" t="s">
        <v>403</v>
      </c>
      <c r="D34" s="409"/>
      <c r="E34" s="49"/>
    </row>
    <row r="35" spans="3:7" hidden="1" x14ac:dyDescent="0.3"/>
    <row r="36" spans="3:7" x14ac:dyDescent="0.3">
      <c r="E36" s="403"/>
    </row>
    <row r="37" spans="3:7" ht="24" customHeight="1" x14ac:dyDescent="0.3">
      <c r="C37" s="690" t="s">
        <v>89</v>
      </c>
      <c r="D37" s="691"/>
      <c r="E37" s="393" t="s">
        <v>198</v>
      </c>
      <c r="F37" s="403"/>
    </row>
    <row r="38" spans="3:7" ht="24" customHeight="1" x14ac:dyDescent="0.3">
      <c r="C38" s="395" t="s">
        <v>344</v>
      </c>
      <c r="D38" s="407"/>
      <c r="E38" s="491">
        <v>45931</v>
      </c>
      <c r="F38" s="410"/>
    </row>
    <row r="39" spans="3:7" ht="24" customHeight="1" x14ac:dyDescent="0.3">
      <c r="C39" s="396" t="s">
        <v>345</v>
      </c>
      <c r="D39" s="408"/>
      <c r="E39" s="491">
        <v>45961</v>
      </c>
      <c r="F39" s="410"/>
    </row>
    <row r="40" spans="3:7" ht="24" customHeight="1" x14ac:dyDescent="0.3">
      <c r="C40" s="396" t="s">
        <v>346</v>
      </c>
      <c r="D40" s="408"/>
      <c r="E40" s="491">
        <v>45961</v>
      </c>
      <c r="F40" s="410"/>
    </row>
    <row r="41" spans="3:7" ht="24" customHeight="1" x14ac:dyDescent="0.3">
      <c r="C41" s="396" t="s">
        <v>324</v>
      </c>
      <c r="D41" s="408"/>
      <c r="E41" s="492">
        <f>'ENONCE ET CORRECTION '!I48</f>
        <v>700.35</v>
      </c>
      <c r="F41" s="411"/>
    </row>
    <row r="42" spans="3:7" ht="24" customHeight="1" x14ac:dyDescent="0.3">
      <c r="C42" s="396" t="s">
        <v>323</v>
      </c>
      <c r="D42" s="408"/>
      <c r="E42" s="493">
        <f>'ENONCE ET CORRECTION '!I37</f>
        <v>161</v>
      </c>
      <c r="F42" s="411"/>
    </row>
    <row r="43" spans="3:7" ht="24" customHeight="1" x14ac:dyDescent="0.3">
      <c r="C43" s="396" t="s">
        <v>303</v>
      </c>
      <c r="D43" s="408"/>
      <c r="E43" s="493">
        <v>11.88</v>
      </c>
      <c r="F43" s="411"/>
    </row>
    <row r="44" spans="3:7" ht="24" customHeight="1" x14ac:dyDescent="0.3">
      <c r="C44" s="396" t="s">
        <v>347</v>
      </c>
      <c r="D44" s="408"/>
      <c r="E44" s="493" t="s">
        <v>922</v>
      </c>
      <c r="F44" s="411"/>
    </row>
    <row r="45" spans="3:7" ht="19.5" customHeight="1" x14ac:dyDescent="0.3">
      <c r="C45" s="396" t="s">
        <v>404</v>
      </c>
      <c r="D45" s="408"/>
      <c r="E45" s="493"/>
      <c r="F45" s="411"/>
    </row>
    <row r="46" spans="3:7" ht="19.5" customHeight="1" x14ac:dyDescent="0.3">
      <c r="C46" s="396" t="s">
        <v>13</v>
      </c>
      <c r="D46" s="408"/>
      <c r="E46" s="493">
        <f>E42</f>
        <v>161</v>
      </c>
      <c r="F46" s="412"/>
    </row>
    <row r="47" spans="3:7" ht="19.5" customHeight="1" x14ac:dyDescent="0.3">
      <c r="C47" s="396" t="s">
        <v>348</v>
      </c>
      <c r="D47" s="408"/>
      <c r="E47" s="493">
        <v>23</v>
      </c>
      <c r="F47" s="412"/>
    </row>
    <row r="48" spans="3:7" ht="19.5" customHeight="1" x14ac:dyDescent="0.3">
      <c r="C48" s="396" t="s">
        <v>349</v>
      </c>
      <c r="D48" s="408"/>
      <c r="E48" s="493">
        <v>6</v>
      </c>
      <c r="F48" s="413"/>
    </row>
    <row r="49" spans="2:6" ht="19.5" customHeight="1" x14ac:dyDescent="0.3">
      <c r="C49" s="396" t="s">
        <v>350</v>
      </c>
      <c r="D49" s="408"/>
      <c r="E49" s="493">
        <v>6</v>
      </c>
      <c r="F49" s="413"/>
    </row>
    <row r="50" spans="2:6" ht="19.5" customHeight="1" x14ac:dyDescent="0.3">
      <c r="C50" s="396" t="s">
        <v>351</v>
      </c>
      <c r="D50" s="408"/>
      <c r="E50" s="493">
        <v>44.4</v>
      </c>
      <c r="F50" s="413"/>
    </row>
    <row r="51" spans="2:6" ht="19.5" customHeight="1" x14ac:dyDescent="0.3">
      <c r="C51" s="397" t="s">
        <v>405</v>
      </c>
      <c r="D51" s="409"/>
      <c r="E51" s="493" t="s">
        <v>923</v>
      </c>
      <c r="F51" s="413"/>
    </row>
    <row r="52" spans="2:6" ht="19.5" hidden="1" customHeight="1" x14ac:dyDescent="0.3">
      <c r="B52" s="394" t="s">
        <v>352</v>
      </c>
      <c r="E52" s="414">
        <v>211</v>
      </c>
    </row>
    <row r="53" spans="2:6" ht="24" hidden="1" customHeight="1" x14ac:dyDescent="0.3"/>
    <row r="54" spans="2:6" ht="24" hidden="1" customHeight="1" x14ac:dyDescent="0.3">
      <c r="C54" s="25" t="s">
        <v>353</v>
      </c>
    </row>
    <row r="55" spans="2:6" ht="24" hidden="1" customHeight="1" x14ac:dyDescent="0.3"/>
    <row r="56" spans="2:6" ht="24" hidden="1" customHeight="1" x14ac:dyDescent="0.3">
      <c r="D56" s="25" t="s">
        <v>354</v>
      </c>
    </row>
    <row r="57" spans="2:6" ht="24" hidden="1" customHeight="1" x14ac:dyDescent="0.3"/>
    <row r="58" spans="2:6" ht="24" hidden="1" customHeight="1" x14ac:dyDescent="0.3">
      <c r="D58" s="25" t="s">
        <v>355</v>
      </c>
    </row>
    <row r="59" spans="2:6" ht="24" hidden="1" customHeight="1" x14ac:dyDescent="0.3"/>
    <row r="60" spans="2:6" ht="24" hidden="1" customHeight="1" x14ac:dyDescent="0.3">
      <c r="C60" s="25" t="s">
        <v>356</v>
      </c>
    </row>
    <row r="61" spans="2:6" ht="24" hidden="1" customHeight="1" x14ac:dyDescent="0.3"/>
    <row r="62" spans="2:6" ht="24" hidden="1" customHeight="1" x14ac:dyDescent="0.3">
      <c r="D62" s="25" t="s">
        <v>357</v>
      </c>
    </row>
    <row r="63" spans="2:6" ht="24" hidden="1" customHeight="1" x14ac:dyDescent="0.3">
      <c r="D63" s="25" t="s">
        <v>358</v>
      </c>
    </row>
    <row r="64" spans="2:6" ht="24" hidden="1" customHeight="1" x14ac:dyDescent="0.3">
      <c r="D64" s="25" t="s">
        <v>359</v>
      </c>
    </row>
    <row r="65" spans="1:11" ht="24" hidden="1" customHeight="1" x14ac:dyDescent="0.3">
      <c r="D65" s="25" t="s">
        <v>360</v>
      </c>
    </row>
    <row r="66" spans="1:11" ht="24" hidden="1" customHeight="1" x14ac:dyDescent="0.3">
      <c r="D66" s="25" t="s">
        <v>361</v>
      </c>
    </row>
    <row r="67" spans="1:11" ht="24" hidden="1" customHeight="1" x14ac:dyDescent="0.3"/>
    <row r="68" spans="1:11" ht="24" hidden="1" customHeight="1" x14ac:dyDescent="0.3">
      <c r="C68" s="25" t="s">
        <v>362</v>
      </c>
    </row>
    <row r="69" spans="1:11" ht="24" hidden="1" customHeight="1" x14ac:dyDescent="0.3">
      <c r="C69" s="25" t="s">
        <v>363</v>
      </c>
    </row>
    <row r="70" spans="1:11" ht="24" hidden="1" customHeight="1" x14ac:dyDescent="0.3"/>
    <row r="71" spans="1:11" ht="24" hidden="1" customHeight="1" x14ac:dyDescent="0.3">
      <c r="D71" s="25" t="s">
        <v>364</v>
      </c>
    </row>
    <row r="72" spans="1:11" ht="24" hidden="1" customHeight="1" x14ac:dyDescent="0.3"/>
    <row r="73" spans="1:11" ht="24" hidden="1" customHeight="1" x14ac:dyDescent="0.3">
      <c r="C73" s="25" t="s">
        <v>365</v>
      </c>
    </row>
    <row r="74" spans="1:11" ht="24" hidden="1" customHeight="1" x14ac:dyDescent="0.3"/>
    <row r="75" spans="1:11" ht="24" hidden="1" customHeight="1" x14ac:dyDescent="0.3">
      <c r="E75" s="401" t="s">
        <v>59</v>
      </c>
      <c r="F75" s="401" t="s">
        <v>366</v>
      </c>
      <c r="G75" s="401" t="s">
        <v>92</v>
      </c>
      <c r="H75" s="401" t="s">
        <v>367</v>
      </c>
      <c r="I75" s="401" t="s">
        <v>86</v>
      </c>
    </row>
    <row r="76" spans="1:11" ht="24" hidden="1" customHeight="1" x14ac:dyDescent="0.3">
      <c r="B76" s="401" t="s">
        <v>368</v>
      </c>
      <c r="C76" s="689" t="s">
        <v>50</v>
      </c>
      <c r="D76" s="689"/>
      <c r="E76" s="415"/>
      <c r="F76" s="416">
        <v>6.8000000000000005E-2</v>
      </c>
      <c r="G76" s="415"/>
      <c r="H76" s="415"/>
      <c r="I76" s="415"/>
      <c r="J76" s="417"/>
      <c r="K76" s="417"/>
    </row>
    <row r="77" spans="1:11" ht="24" hidden="1" customHeight="1" x14ac:dyDescent="0.3">
      <c r="B77" s="401" t="s">
        <v>369</v>
      </c>
      <c r="C77" s="689" t="s">
        <v>51</v>
      </c>
      <c r="D77" s="689"/>
      <c r="E77" s="415"/>
      <c r="F77" s="416">
        <v>6.8000000000000005E-2</v>
      </c>
      <c r="G77" s="415"/>
      <c r="H77" s="415"/>
      <c r="I77" s="415"/>
      <c r="J77" s="417"/>
      <c r="K77" s="417"/>
    </row>
    <row r="78" spans="1:11" ht="24" hidden="1" customHeight="1" x14ac:dyDescent="0.3">
      <c r="B78" s="401" t="s">
        <v>370</v>
      </c>
      <c r="C78" s="689" t="s">
        <v>52</v>
      </c>
      <c r="D78" s="689"/>
      <c r="E78" s="415"/>
      <c r="F78" s="416">
        <v>2.9000000000000001E-2</v>
      </c>
      <c r="G78" s="415"/>
      <c r="H78" s="415"/>
      <c r="I78" s="415"/>
      <c r="J78" s="417"/>
      <c r="K78" s="417"/>
    </row>
    <row r="79" spans="1:11" ht="24" hidden="1" customHeight="1" x14ac:dyDescent="0.3">
      <c r="A79" s="683"/>
      <c r="B79" s="683"/>
      <c r="E79" s="415"/>
      <c r="F79" s="415"/>
      <c r="G79" s="415"/>
      <c r="H79" s="415"/>
      <c r="I79" s="418"/>
      <c r="J79" s="417"/>
      <c r="K79" s="417"/>
    </row>
    <row r="80" spans="1:11" ht="24" hidden="1" customHeight="1" x14ac:dyDescent="0.3">
      <c r="B80" s="401" t="s">
        <v>361</v>
      </c>
      <c r="C80" s="689" t="s">
        <v>53</v>
      </c>
      <c r="D80" s="689"/>
      <c r="E80" s="415"/>
      <c r="F80" s="419"/>
      <c r="G80" s="420"/>
      <c r="H80" s="421"/>
      <c r="I80" s="418"/>
      <c r="J80" s="417"/>
      <c r="K80" s="417"/>
    </row>
    <row r="81" spans="2:11" ht="24" hidden="1" customHeight="1" x14ac:dyDescent="0.3">
      <c r="B81" s="422"/>
      <c r="C81" s="423"/>
      <c r="D81" s="423"/>
      <c r="E81" s="424"/>
      <c r="F81" s="425"/>
      <c r="G81" s="426"/>
      <c r="H81" s="427"/>
      <c r="I81" s="428"/>
      <c r="J81" s="417"/>
      <c r="K81" s="417"/>
    </row>
    <row r="82" spans="2:11" ht="24" hidden="1" customHeight="1" x14ac:dyDescent="0.3">
      <c r="C82" s="25" t="s">
        <v>371</v>
      </c>
    </row>
    <row r="83" spans="2:11" ht="24" hidden="1" customHeight="1" x14ac:dyDescent="0.3"/>
    <row r="84" spans="2:11" ht="24" hidden="1" customHeight="1" x14ac:dyDescent="0.3">
      <c r="D84" s="25" t="s">
        <v>372</v>
      </c>
    </row>
    <row r="85" spans="2:11" ht="24" hidden="1" customHeight="1" x14ac:dyDescent="0.3"/>
    <row r="86" spans="2:11" ht="24" hidden="1" customHeight="1" x14ac:dyDescent="0.3">
      <c r="B86" s="25" t="s">
        <v>373</v>
      </c>
    </row>
    <row r="87" spans="2:11" ht="24" hidden="1" customHeight="1" x14ac:dyDescent="0.3"/>
    <row r="88" spans="2:11" ht="24" hidden="1" customHeight="1" x14ac:dyDescent="0.3">
      <c r="C88" s="25" t="s">
        <v>374</v>
      </c>
    </row>
    <row r="89" spans="2:11" ht="24" hidden="1" customHeight="1" x14ac:dyDescent="0.3"/>
    <row r="90" spans="2:11" ht="24" hidden="1" customHeight="1" x14ac:dyDescent="0.3">
      <c r="D90" s="25" t="s">
        <v>375</v>
      </c>
    </row>
    <row r="91" spans="2:11" ht="24" hidden="1" customHeight="1" x14ac:dyDescent="0.3">
      <c r="D91" s="25" t="s">
        <v>354</v>
      </c>
    </row>
    <row r="92" spans="2:11" ht="24" hidden="1" customHeight="1" x14ac:dyDescent="0.3">
      <c r="D92" s="25" t="s">
        <v>376</v>
      </c>
    </row>
    <row r="93" spans="2:11" ht="24" hidden="1" customHeight="1" x14ac:dyDescent="0.3">
      <c r="D93" s="25" t="s">
        <v>377</v>
      </c>
    </row>
    <row r="94" spans="2:11" ht="24" hidden="1" customHeight="1" x14ac:dyDescent="0.3">
      <c r="D94" s="25" t="s">
        <v>378</v>
      </c>
    </row>
    <row r="95" spans="2:11" ht="24" hidden="1" customHeight="1" x14ac:dyDescent="0.3"/>
    <row r="96" spans="2:11" ht="24" hidden="1" customHeight="1" x14ac:dyDescent="0.3">
      <c r="C96" s="25" t="s">
        <v>379</v>
      </c>
    </row>
    <row r="97" spans="2:5" ht="24" hidden="1" customHeight="1" x14ac:dyDescent="0.3"/>
    <row r="98" spans="2:5" ht="24" hidden="1" customHeight="1" x14ac:dyDescent="0.3">
      <c r="B98" s="394" t="s">
        <v>380</v>
      </c>
      <c r="C98" s="394"/>
    </row>
    <row r="99" spans="2:5" ht="24" hidden="1" customHeight="1" x14ac:dyDescent="0.3"/>
    <row r="100" spans="2:5" ht="24" hidden="1" customHeight="1" x14ac:dyDescent="0.3">
      <c r="C100" s="429" t="s">
        <v>381</v>
      </c>
    </row>
    <row r="101" spans="2:5" ht="24" hidden="1" customHeight="1" x14ac:dyDescent="0.3"/>
    <row r="102" spans="2:5" ht="24" hidden="1" customHeight="1" x14ac:dyDescent="0.3">
      <c r="C102" s="25" t="s">
        <v>382</v>
      </c>
    </row>
    <row r="103" spans="2:5" ht="24" hidden="1" customHeight="1" x14ac:dyDescent="0.3">
      <c r="C103" s="25" t="s">
        <v>383</v>
      </c>
    </row>
    <row r="104" spans="2:5" ht="24" hidden="1" customHeight="1" x14ac:dyDescent="0.3">
      <c r="C104" s="25" t="s">
        <v>384</v>
      </c>
    </row>
    <row r="105" spans="2:5" ht="24" hidden="1" customHeight="1" x14ac:dyDescent="0.3">
      <c r="C105" s="25" t="s">
        <v>385</v>
      </c>
    </row>
    <row r="106" spans="2:5" ht="24" hidden="1" customHeight="1" x14ac:dyDescent="0.3">
      <c r="C106" s="25" t="s">
        <v>386</v>
      </c>
    </row>
    <row r="107" spans="2:5" ht="24" hidden="1" customHeight="1" x14ac:dyDescent="0.3"/>
    <row r="108" spans="2:5" ht="24" hidden="1" customHeight="1" x14ac:dyDescent="0.3"/>
    <row r="109" spans="2:5" ht="24" hidden="1" customHeight="1" x14ac:dyDescent="0.3">
      <c r="B109" s="394" t="s">
        <v>387</v>
      </c>
    </row>
    <row r="110" spans="2:5" ht="24" hidden="1" customHeight="1" x14ac:dyDescent="0.3"/>
    <row r="111" spans="2:5" ht="24" hidden="1" customHeight="1" x14ac:dyDescent="0.3">
      <c r="C111" s="25" t="s">
        <v>388</v>
      </c>
    </row>
    <row r="112" spans="2:5" ht="24" hidden="1" customHeight="1" x14ac:dyDescent="0.3">
      <c r="D112" s="25" t="s">
        <v>389</v>
      </c>
      <c r="E112" s="430">
        <v>2332</v>
      </c>
    </row>
    <row r="113" spans="3:6" ht="24" hidden="1" customHeight="1" x14ac:dyDescent="0.3">
      <c r="D113" s="25" t="s">
        <v>390</v>
      </c>
      <c r="E113" s="430">
        <v>3062</v>
      </c>
    </row>
    <row r="114" spans="3:6" ht="24" hidden="1" customHeight="1" x14ac:dyDescent="0.3"/>
    <row r="115" spans="3:6" ht="24" hidden="1" customHeight="1" x14ac:dyDescent="0.3">
      <c r="C115" s="25" t="s">
        <v>391</v>
      </c>
      <c r="D115" s="25">
        <v>8.3000000000000007</v>
      </c>
    </row>
    <row r="116" spans="3:6" ht="24" hidden="1" customHeight="1" x14ac:dyDescent="0.3">
      <c r="D116" s="25" t="s">
        <v>392</v>
      </c>
    </row>
    <row r="117" spans="3:6" ht="24" hidden="1" customHeight="1" x14ac:dyDescent="0.3">
      <c r="D117" s="25" t="s">
        <v>393</v>
      </c>
      <c r="E117" s="430">
        <f>E30</f>
        <v>0</v>
      </c>
      <c r="F117" s="25">
        <f>E117*D115</f>
        <v>0</v>
      </c>
    </row>
    <row r="118" spans="3:6" ht="24" hidden="1" customHeight="1" x14ac:dyDescent="0.3">
      <c r="D118" s="25" t="s">
        <v>394</v>
      </c>
      <c r="E118" s="430" t="e">
        <f>#REF!</f>
        <v>#REF!</v>
      </c>
      <c r="F118" s="25" t="e">
        <f>D115*E118</f>
        <v>#REF!</v>
      </c>
    </row>
    <row r="119" spans="3:6" ht="24" hidden="1" customHeight="1" x14ac:dyDescent="0.3"/>
    <row r="120" spans="3:6" ht="24" hidden="1" customHeight="1" x14ac:dyDescent="0.3">
      <c r="E120" s="25" t="s">
        <v>395</v>
      </c>
    </row>
    <row r="121" spans="3:6" ht="24" hidden="1" customHeight="1" x14ac:dyDescent="0.3"/>
    <row r="122" spans="3:6" ht="15.75" hidden="1" customHeight="1" x14ac:dyDescent="0.3"/>
  </sheetData>
  <mergeCells count="37">
    <mergeCell ref="G4:H4"/>
    <mergeCell ref="G5:H5"/>
    <mergeCell ref="G6:H6"/>
    <mergeCell ref="G7:H7"/>
    <mergeCell ref="G8:H8"/>
    <mergeCell ref="C12:D12"/>
    <mergeCell ref="E12:F12"/>
    <mergeCell ref="C13:D13"/>
    <mergeCell ref="E13:F13"/>
    <mergeCell ref="C8:E8"/>
    <mergeCell ref="C80:D80"/>
    <mergeCell ref="C77:D77"/>
    <mergeCell ref="C78:D78"/>
    <mergeCell ref="C17:D17"/>
    <mergeCell ref="E17:F17"/>
    <mergeCell ref="C18:D18"/>
    <mergeCell ref="E18:F18"/>
    <mergeCell ref="C22:D22"/>
    <mergeCell ref="E22:F22"/>
    <mergeCell ref="C37:D37"/>
    <mergeCell ref="C76:D76"/>
    <mergeCell ref="G9:H9"/>
    <mergeCell ref="A79:B79"/>
    <mergeCell ref="C19:D19"/>
    <mergeCell ref="E19:F19"/>
    <mergeCell ref="C20:D20"/>
    <mergeCell ref="E20:F20"/>
    <mergeCell ref="C21:D21"/>
    <mergeCell ref="E21:F21"/>
    <mergeCell ref="C16:D16"/>
    <mergeCell ref="E16:F16"/>
    <mergeCell ref="C10:H10"/>
    <mergeCell ref="C14:D14"/>
    <mergeCell ref="E14:F14"/>
    <mergeCell ref="C15:D15"/>
    <mergeCell ref="E15:F15"/>
    <mergeCell ref="E11:F11"/>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9"/>
  <sheetViews>
    <sheetView tabSelected="1" zoomScale="140" zoomScaleNormal="140" workbookViewId="0">
      <selection activeCell="J86" sqref="J86:K86"/>
    </sheetView>
  </sheetViews>
  <sheetFormatPr baseColWidth="10" defaultColWidth="11.44140625" defaultRowHeight="13.8" x14ac:dyDescent="0.25"/>
  <cols>
    <col min="1" max="1" width="17.109375" style="229" customWidth="1"/>
    <col min="2" max="2" width="22.33203125" style="229" customWidth="1"/>
    <col min="3" max="3" width="11" style="226" customWidth="1"/>
    <col min="4" max="4" width="9.109375" style="227" customWidth="1"/>
    <col min="5" max="5" width="9" style="227" customWidth="1"/>
    <col min="6" max="6" width="12.33203125" style="226" customWidth="1"/>
    <col min="7" max="7" width="12.44140625" style="226" customWidth="1"/>
    <col min="8" max="8" width="8.44140625" style="24" customWidth="1"/>
    <col min="9" max="9" width="8.109375" style="24" bestFit="1" customWidth="1"/>
    <col min="10" max="10" width="11.109375" style="24" customWidth="1"/>
    <col min="11" max="11" width="12.88671875" style="24" hidden="1" customWidth="1"/>
    <col min="12" max="12" width="0.44140625" style="24" customWidth="1"/>
    <col min="13" max="13" width="12.88671875" style="24" customWidth="1"/>
    <col min="14" max="16384" width="11.44140625" style="24"/>
  </cols>
  <sheetData>
    <row r="1" spans="1:10" ht="15.75" customHeight="1" x14ac:dyDescent="0.3">
      <c r="A1" s="707" t="s">
        <v>473</v>
      </c>
      <c r="B1" s="707"/>
      <c r="C1" s="707"/>
      <c r="D1" s="707"/>
      <c r="E1" s="707"/>
      <c r="F1" s="707"/>
      <c r="G1" s="707"/>
      <c r="H1" s="708"/>
      <c r="I1" s="708"/>
      <c r="J1" s="708"/>
    </row>
    <row r="2" spans="1:10" ht="15.75" customHeight="1" x14ac:dyDescent="0.3">
      <c r="A2" s="709" t="s">
        <v>0</v>
      </c>
      <c r="B2" s="710"/>
      <c r="C2" s="710"/>
      <c r="D2" s="711"/>
      <c r="E2" s="312"/>
      <c r="F2" s="712" t="s">
        <v>1</v>
      </c>
      <c r="G2" s="713"/>
      <c r="H2" s="713"/>
      <c r="I2" s="713"/>
      <c r="J2" s="714"/>
    </row>
    <row r="3" spans="1:10" ht="15.75" customHeight="1" x14ac:dyDescent="0.25">
      <c r="A3" s="313" t="s">
        <v>2</v>
      </c>
      <c r="B3" s="715" t="str">
        <f>'Masque de Saisie'!G4</f>
        <v xml:space="preserve">ATGR </v>
      </c>
      <c r="C3" s="716"/>
      <c r="D3" s="717"/>
      <c r="E3" s="314"/>
      <c r="F3" s="315" t="s">
        <v>2</v>
      </c>
      <c r="G3" s="702" t="str">
        <f>'Masque de Saisie'!E26</f>
        <v xml:space="preserve">MARTINO </v>
      </c>
      <c r="H3" s="702"/>
      <c r="I3" s="702"/>
      <c r="J3" s="702"/>
    </row>
    <row r="4" spans="1:10" ht="15.75" customHeight="1" x14ac:dyDescent="0.25">
      <c r="A4" s="313" t="s">
        <v>3</v>
      </c>
      <c r="B4" s="715" t="str">
        <f>'Masque de Saisie'!G5</f>
        <v xml:space="preserve">3 Rue Paul Vaillant Couturier 92300 Levallois-Perret </v>
      </c>
      <c r="C4" s="716"/>
      <c r="D4" s="717"/>
      <c r="E4" s="314"/>
      <c r="F4" s="315" t="s">
        <v>4</v>
      </c>
      <c r="G4" s="702" t="str">
        <f>'Masque de Saisie'!E27</f>
        <v>Pamela</v>
      </c>
      <c r="H4" s="702"/>
      <c r="I4" s="702"/>
      <c r="J4" s="702"/>
    </row>
    <row r="5" spans="1:10" ht="15.75" customHeight="1" x14ac:dyDescent="0.25">
      <c r="A5" s="313"/>
      <c r="B5" s="699"/>
      <c r="C5" s="700"/>
      <c r="D5" s="701"/>
      <c r="E5" s="314"/>
      <c r="F5" s="315" t="s">
        <v>5</v>
      </c>
      <c r="G5" s="702" t="str">
        <f>'Masque de Saisie'!E29</f>
        <v xml:space="preserve">Stagaire RH </v>
      </c>
      <c r="H5" s="702"/>
      <c r="I5" s="702"/>
      <c r="J5" s="702"/>
    </row>
    <row r="6" spans="1:10" ht="15.75" customHeight="1" x14ac:dyDescent="0.25">
      <c r="A6" s="313" t="s">
        <v>6</v>
      </c>
      <c r="B6" s="703">
        <f>'Masque de Saisie'!G6</f>
        <v>34464426500029</v>
      </c>
      <c r="C6" s="704"/>
      <c r="D6" s="705"/>
      <c r="E6" s="316"/>
      <c r="F6" s="315" t="s">
        <v>7</v>
      </c>
      <c r="G6" s="702">
        <f>'Masque de Saisie'!E30</f>
        <v>0</v>
      </c>
      <c r="H6" s="702"/>
      <c r="I6" s="702"/>
      <c r="J6" s="702"/>
    </row>
    <row r="7" spans="1:10" ht="15.75" customHeight="1" x14ac:dyDescent="0.25">
      <c r="A7" s="313" t="s">
        <v>8</v>
      </c>
      <c r="B7" s="699" t="str">
        <f>'Masque de Saisie'!G7</f>
        <v xml:space="preserve">7111C </v>
      </c>
      <c r="C7" s="700"/>
      <c r="D7" s="701"/>
      <c r="E7" s="314"/>
      <c r="F7" s="315" t="s">
        <v>9</v>
      </c>
      <c r="G7" s="706" t="str">
        <f>'Masque de Saisie'!E31</f>
        <v>2.96.02.297.820. 957</v>
      </c>
      <c r="H7" s="706"/>
      <c r="I7" s="706"/>
      <c r="J7" s="706"/>
    </row>
    <row r="8" spans="1:10" ht="15.75" customHeight="1" x14ac:dyDescent="0.25">
      <c r="A8" s="313" t="s">
        <v>10</v>
      </c>
      <c r="B8" s="703"/>
      <c r="C8" s="704"/>
      <c r="D8" s="705"/>
      <c r="E8" s="316"/>
      <c r="F8" s="317" t="s">
        <v>3</v>
      </c>
      <c r="G8" s="702" t="str">
        <f>'Masque de Saisie'!E28</f>
        <v xml:space="preserve">2 Avenue du Val Fleuri 92700 Colombes </v>
      </c>
      <c r="H8" s="702"/>
      <c r="I8" s="702"/>
      <c r="J8" s="702"/>
    </row>
    <row r="9" spans="1:10" ht="15.75" customHeight="1" x14ac:dyDescent="0.25">
      <c r="A9" s="313" t="s">
        <v>11</v>
      </c>
      <c r="B9" s="512">
        <f>'Masque de Saisie'!G9</f>
        <v>200</v>
      </c>
      <c r="C9" s="852" t="str">
        <f>'Masque de Saisie'!E51</f>
        <v xml:space="preserve">Stagaire </v>
      </c>
      <c r="D9" s="701"/>
      <c r="E9" s="314"/>
      <c r="F9" s="722" t="s">
        <v>12</v>
      </c>
      <c r="G9" s="723"/>
      <c r="H9" s="319"/>
      <c r="I9" s="320">
        <f>'Masque de Saisie'!E33</f>
        <v>1</v>
      </c>
      <c r="J9" s="320" t="str">
        <f>'Masque de Saisie'!E32</f>
        <v>NC</v>
      </c>
    </row>
    <row r="10" spans="1:10" ht="15.75" customHeight="1" x14ac:dyDescent="0.25">
      <c r="A10" s="322" t="s">
        <v>13</v>
      </c>
      <c r="B10" s="328">
        <f>'Masque de Saisie'!E46</f>
        <v>161</v>
      </c>
      <c r="C10" s="320" t="s">
        <v>14</v>
      </c>
      <c r="D10" s="432">
        <f>'Masque de Saisie'!E43</f>
        <v>11.88</v>
      </c>
      <c r="E10" s="314"/>
      <c r="F10" s="699" t="s">
        <v>238</v>
      </c>
      <c r="G10" s="701"/>
      <c r="H10" s="373">
        <f>'Masque de Saisie'!E38</f>
        <v>45931</v>
      </c>
      <c r="I10" s="324" t="s">
        <v>15</v>
      </c>
      <c r="J10" s="373">
        <f>'Masque de Saisie'!E39</f>
        <v>45961</v>
      </c>
    </row>
    <row r="11" spans="1:10" ht="30" customHeight="1" x14ac:dyDescent="0.25">
      <c r="A11" s="325"/>
      <c r="B11" s="853" t="s">
        <v>314</v>
      </c>
      <c r="C11" s="854"/>
      <c r="D11" s="855"/>
      <c r="E11" s="326"/>
      <c r="F11" s="325" t="s">
        <v>16</v>
      </c>
      <c r="G11" s="378">
        <f>'Masque de Saisie'!E39</f>
        <v>45961</v>
      </c>
      <c r="H11" s="64"/>
      <c r="I11" s="64"/>
      <c r="J11" s="379"/>
    </row>
    <row r="12" spans="1:10" ht="9.75" customHeight="1" x14ac:dyDescent="0.25">
      <c r="A12" s="856"/>
      <c r="B12" s="857"/>
      <c r="C12" s="857"/>
      <c r="D12" s="857"/>
      <c r="E12" s="857"/>
      <c r="F12" s="857"/>
      <c r="G12" s="857"/>
      <c r="H12" s="857"/>
      <c r="I12" s="857"/>
      <c r="J12" s="857"/>
    </row>
    <row r="13" spans="1:10" ht="16.2" customHeight="1" x14ac:dyDescent="0.25">
      <c r="A13" s="718" t="s">
        <v>928</v>
      </c>
      <c r="B13" s="719"/>
      <c r="C13" s="719"/>
      <c r="D13" s="719"/>
      <c r="E13" s="719"/>
      <c r="F13" s="720"/>
      <c r="G13" s="328">
        <f>+'Masque de Saisie'!E42</f>
        <v>161</v>
      </c>
      <c r="H13" s="325" t="s">
        <v>17</v>
      </c>
      <c r="I13" s="329">
        <f>J13/G13</f>
        <v>4.3500000000000005</v>
      </c>
      <c r="J13" s="330">
        <f>'Masque de Saisie'!E41</f>
        <v>700.35</v>
      </c>
    </row>
    <row r="14" spans="1:10" ht="16.2" hidden="1" customHeight="1" x14ac:dyDescent="0.25">
      <c r="A14" s="718" t="s">
        <v>838</v>
      </c>
      <c r="B14" s="719"/>
      <c r="C14" s="719"/>
      <c r="D14" s="719"/>
      <c r="E14" s="719"/>
      <c r="F14" s="720"/>
      <c r="G14" s="325"/>
      <c r="H14" s="325"/>
      <c r="I14" s="329"/>
      <c r="J14" s="330"/>
    </row>
    <row r="15" spans="1:10" ht="16.2" hidden="1" customHeight="1" x14ac:dyDescent="0.25">
      <c r="A15" s="718" t="s">
        <v>415</v>
      </c>
      <c r="B15" s="719"/>
      <c r="C15" s="719"/>
      <c r="D15" s="719"/>
      <c r="E15" s="719"/>
      <c r="F15" s="720"/>
      <c r="G15" s="331"/>
      <c r="H15" s="332"/>
      <c r="I15" s="329"/>
      <c r="J15" s="330"/>
    </row>
    <row r="16" spans="1:10" ht="16.2" hidden="1" customHeight="1" x14ac:dyDescent="0.25">
      <c r="A16" s="718" t="s">
        <v>416</v>
      </c>
      <c r="B16" s="719"/>
      <c r="C16" s="719"/>
      <c r="D16" s="719"/>
      <c r="E16" s="719"/>
      <c r="F16" s="720"/>
      <c r="G16" s="331"/>
      <c r="H16" s="332"/>
      <c r="I16" s="329"/>
      <c r="J16" s="330"/>
    </row>
    <row r="17" spans="1:10" ht="16.2" hidden="1" customHeight="1" x14ac:dyDescent="0.25">
      <c r="A17" s="718" t="s">
        <v>18</v>
      </c>
      <c r="B17" s="719"/>
      <c r="C17" s="719"/>
      <c r="D17" s="719"/>
      <c r="E17" s="719"/>
      <c r="F17" s="720"/>
      <c r="G17" s="331"/>
      <c r="H17" s="332" t="s">
        <v>17</v>
      </c>
      <c r="I17" s="329"/>
      <c r="J17" s="330"/>
    </row>
    <row r="18" spans="1:10" ht="16.2" hidden="1" customHeight="1" x14ac:dyDescent="0.25">
      <c r="A18" s="718" t="s">
        <v>240</v>
      </c>
      <c r="B18" s="719"/>
      <c r="C18" s="719"/>
      <c r="D18" s="719"/>
      <c r="E18" s="719"/>
      <c r="F18" s="720"/>
      <c r="G18" s="331"/>
      <c r="H18" s="332" t="s">
        <v>17</v>
      </c>
      <c r="I18" s="329"/>
      <c r="J18" s="330">
        <f t="shared" ref="J18:J21" si="0">ROUND(G18*I18,2)</f>
        <v>0</v>
      </c>
    </row>
    <row r="19" spans="1:10" ht="16.2" hidden="1" customHeight="1" x14ac:dyDescent="0.25">
      <c r="A19" s="718" t="s">
        <v>241</v>
      </c>
      <c r="B19" s="719"/>
      <c r="C19" s="719"/>
      <c r="D19" s="719"/>
      <c r="E19" s="719"/>
      <c r="F19" s="720"/>
      <c r="G19" s="331"/>
      <c r="H19" s="332" t="s">
        <v>17</v>
      </c>
      <c r="I19" s="329"/>
      <c r="J19" s="330">
        <f t="shared" si="0"/>
        <v>0</v>
      </c>
    </row>
    <row r="20" spans="1:10" ht="16.2" hidden="1" customHeight="1" x14ac:dyDescent="0.25">
      <c r="A20" s="718" t="s">
        <v>242</v>
      </c>
      <c r="B20" s="719"/>
      <c r="C20" s="719"/>
      <c r="D20" s="719"/>
      <c r="E20" s="719"/>
      <c r="F20" s="720"/>
      <c r="G20" s="331"/>
      <c r="H20" s="332" t="s">
        <v>17</v>
      </c>
      <c r="I20" s="329"/>
      <c r="J20" s="330">
        <f t="shared" si="0"/>
        <v>0</v>
      </c>
    </row>
    <row r="21" spans="1:10" ht="16.2" hidden="1" customHeight="1" x14ac:dyDescent="0.25">
      <c r="A21" s="718" t="s">
        <v>243</v>
      </c>
      <c r="B21" s="719"/>
      <c r="C21" s="719"/>
      <c r="D21" s="719"/>
      <c r="E21" s="719"/>
      <c r="F21" s="720"/>
      <c r="G21" s="460">
        <f>'Masque de Saisie'!E45</f>
        <v>0</v>
      </c>
      <c r="H21" s="332" t="s">
        <v>17</v>
      </c>
      <c r="I21" s="329">
        <f>ROUND(((J13+J16)*1.25/G13),6)</f>
        <v>5.4375</v>
      </c>
      <c r="J21" s="330">
        <f t="shared" si="0"/>
        <v>0</v>
      </c>
    </row>
    <row r="22" spans="1:10" ht="16.2" hidden="1" customHeight="1" x14ac:dyDescent="0.25">
      <c r="A22" s="718" t="s">
        <v>244</v>
      </c>
      <c r="B22" s="719"/>
      <c r="C22" s="719"/>
      <c r="D22" s="719"/>
      <c r="E22" s="719"/>
      <c r="F22" s="720"/>
      <c r="G22" s="331"/>
      <c r="H22" s="332" t="s">
        <v>19</v>
      </c>
      <c r="I22" s="325"/>
      <c r="J22" s="330"/>
    </row>
    <row r="23" spans="1:10" ht="16.2" hidden="1" customHeight="1" x14ac:dyDescent="0.25">
      <c r="A23" s="718" t="s">
        <v>513</v>
      </c>
      <c r="B23" s="719"/>
      <c r="C23" s="719"/>
      <c r="D23" s="719"/>
      <c r="E23" s="719"/>
      <c r="F23" s="720"/>
      <c r="G23" s="327"/>
      <c r="H23" s="333"/>
      <c r="I23" s="321"/>
      <c r="J23" s="334"/>
    </row>
    <row r="24" spans="1:10" ht="16.2" hidden="1" customHeight="1" x14ac:dyDescent="0.25">
      <c r="A24" s="718" t="s">
        <v>20</v>
      </c>
      <c r="B24" s="719"/>
      <c r="C24" s="719"/>
      <c r="D24" s="719"/>
      <c r="E24" s="719"/>
      <c r="F24" s="720"/>
      <c r="G24" s="327"/>
      <c r="H24" s="333"/>
      <c r="I24" s="321"/>
      <c r="J24" s="334"/>
    </row>
    <row r="25" spans="1:10" ht="16.2" hidden="1" customHeight="1" x14ac:dyDescent="0.25">
      <c r="A25" s="718" t="s">
        <v>21</v>
      </c>
      <c r="B25" s="719"/>
      <c r="C25" s="719"/>
      <c r="D25" s="719"/>
      <c r="E25" s="719"/>
      <c r="F25" s="720"/>
      <c r="G25" s="327"/>
      <c r="H25" s="333"/>
      <c r="I25" s="321"/>
      <c r="J25" s="334"/>
    </row>
    <row r="26" spans="1:10" ht="16.2" hidden="1" customHeight="1" x14ac:dyDescent="0.25">
      <c r="A26" s="728" t="s">
        <v>22</v>
      </c>
      <c r="B26" s="729"/>
      <c r="C26" s="729"/>
      <c r="D26" s="729"/>
      <c r="E26" s="729"/>
      <c r="F26" s="730"/>
      <c r="G26" s="327"/>
      <c r="H26" s="333"/>
      <c r="I26" s="321"/>
      <c r="J26" s="334"/>
    </row>
    <row r="27" spans="1:10" ht="16.2" hidden="1" customHeight="1" x14ac:dyDescent="0.25">
      <c r="A27" s="728" t="s">
        <v>23</v>
      </c>
      <c r="B27" s="729"/>
      <c r="C27" s="729"/>
      <c r="D27" s="729"/>
      <c r="E27" s="729"/>
      <c r="F27" s="730"/>
      <c r="G27" s="327"/>
      <c r="H27" s="333"/>
      <c r="I27" s="321"/>
      <c r="J27" s="334"/>
    </row>
    <row r="28" spans="1:10" ht="16.2" hidden="1" customHeight="1" x14ac:dyDescent="0.25">
      <c r="A28" s="728" t="s">
        <v>24</v>
      </c>
      <c r="B28" s="729"/>
      <c r="C28" s="729"/>
      <c r="D28" s="729"/>
      <c r="E28" s="729"/>
      <c r="F28" s="730"/>
      <c r="G28" s="327"/>
      <c r="H28" s="333"/>
      <c r="I28" s="321"/>
      <c r="J28" s="334"/>
    </row>
    <row r="29" spans="1:10" ht="16.2" hidden="1" customHeight="1" x14ac:dyDescent="0.25">
      <c r="A29" s="728" t="s">
        <v>25</v>
      </c>
      <c r="B29" s="729"/>
      <c r="C29" s="729"/>
      <c r="D29" s="729"/>
      <c r="E29" s="729"/>
      <c r="F29" s="730"/>
      <c r="G29" s="327"/>
      <c r="H29" s="333"/>
      <c r="I29" s="321"/>
      <c r="J29" s="334"/>
    </row>
    <row r="30" spans="1:10" ht="16.2" hidden="1" customHeight="1" x14ac:dyDescent="0.25">
      <c r="A30" s="728" t="s">
        <v>26</v>
      </c>
      <c r="B30" s="729"/>
      <c r="C30" s="729"/>
      <c r="D30" s="729"/>
      <c r="E30" s="729"/>
      <c r="F30" s="730"/>
      <c r="G30" s="327"/>
      <c r="H30" s="333"/>
      <c r="I30" s="321"/>
      <c r="J30" s="334"/>
    </row>
    <row r="31" spans="1:10" ht="16.2" hidden="1" customHeight="1" x14ac:dyDescent="0.25">
      <c r="A31" s="728" t="s">
        <v>27</v>
      </c>
      <c r="B31" s="729"/>
      <c r="C31" s="729"/>
      <c r="D31" s="729"/>
      <c r="E31" s="729"/>
      <c r="F31" s="730"/>
      <c r="G31" s="327"/>
      <c r="H31" s="333"/>
      <c r="I31" s="321"/>
      <c r="J31" s="334"/>
    </row>
    <row r="32" spans="1:10" ht="16.2" hidden="1" customHeight="1" x14ac:dyDescent="0.25">
      <c r="A32" s="728"/>
      <c r="B32" s="729"/>
      <c r="C32" s="729"/>
      <c r="D32" s="729"/>
      <c r="E32" s="729"/>
      <c r="F32" s="730"/>
      <c r="G32" s="327"/>
      <c r="H32" s="333"/>
      <c r="I32" s="321"/>
      <c r="J32" s="334"/>
    </row>
    <row r="33" spans="1:10" ht="22.2" customHeight="1" x14ac:dyDescent="0.3">
      <c r="A33" s="735" t="s">
        <v>28</v>
      </c>
      <c r="B33" s="736"/>
      <c r="C33" s="647" t="str">
        <f>'Masque de Saisie'!E44</f>
        <v xml:space="preserve">Non applicable </v>
      </c>
      <c r="D33" s="839" t="s">
        <v>29</v>
      </c>
      <c r="E33" s="840"/>
      <c r="F33" s="840"/>
      <c r="G33" s="840"/>
      <c r="H33" s="840"/>
      <c r="I33" s="841"/>
      <c r="J33" s="461">
        <f>SUM(J13:J32)</f>
        <v>700.35</v>
      </c>
    </row>
    <row r="34" spans="1:10" ht="10.5" customHeight="1" x14ac:dyDescent="0.25">
      <c r="A34" s="842"/>
      <c r="B34" s="843"/>
      <c r="C34" s="843"/>
      <c r="D34" s="843"/>
      <c r="E34" s="843"/>
      <c r="F34" s="843"/>
      <c r="G34" s="843"/>
      <c r="H34" s="843"/>
      <c r="I34" s="843"/>
      <c r="J34" s="844"/>
    </row>
    <row r="35" spans="1:10" ht="30" hidden="1" customHeight="1" x14ac:dyDescent="0.25">
      <c r="A35" s="845" t="s">
        <v>295</v>
      </c>
      <c r="B35" s="846"/>
      <c r="C35" s="371" t="s">
        <v>31</v>
      </c>
      <c r="D35" s="372" t="s">
        <v>32</v>
      </c>
      <c r="E35" s="372" t="s">
        <v>33</v>
      </c>
      <c r="F35" s="371" t="s">
        <v>34</v>
      </c>
      <c r="G35" s="371" t="s">
        <v>35</v>
      </c>
      <c r="H35" s="270"/>
    </row>
    <row r="36" spans="1:10" ht="17.399999999999999" hidden="1" customHeight="1" x14ac:dyDescent="0.25">
      <c r="A36" s="847" t="s">
        <v>36</v>
      </c>
      <c r="B36" s="848"/>
      <c r="C36" s="849"/>
      <c r="D36" s="850"/>
      <c r="E36" s="850"/>
      <c r="F36" s="850"/>
      <c r="G36" s="851"/>
    </row>
    <row r="37" spans="1:10" ht="19.8" hidden="1" customHeight="1" x14ac:dyDescent="0.25">
      <c r="A37" s="754" t="s">
        <v>278</v>
      </c>
      <c r="B37" s="749"/>
      <c r="C37" s="336">
        <f>'ENONCE ET CORRECTION '!I53</f>
        <v>0</v>
      </c>
      <c r="D37" s="337"/>
      <c r="E37" s="337">
        <f>VLOOKUP(A37,TAUX2023,4,FALSE)</f>
        <v>7.0000000000000007E-2</v>
      </c>
      <c r="F37" s="338"/>
      <c r="G37" s="336">
        <f>ROUND(C37*E37,2)</f>
        <v>0</v>
      </c>
      <c r="J37" s="228"/>
    </row>
    <row r="38" spans="1:10" ht="19.2" hidden="1" customHeight="1" x14ac:dyDescent="0.25">
      <c r="A38" s="754" t="s">
        <v>205</v>
      </c>
      <c r="B38" s="749"/>
      <c r="C38" s="339">
        <f>C37</f>
        <v>0</v>
      </c>
      <c r="D38" s="337"/>
      <c r="E38" s="337">
        <f>VLOOKUP(A38,TAUX2023,4,FALSE)</f>
        <v>0.06</v>
      </c>
      <c r="F38" s="338"/>
      <c r="G38" s="336">
        <f t="shared" ref="G38:G63" si="1">ROUND(C38*E38,2)</f>
        <v>0</v>
      </c>
      <c r="J38" s="228"/>
    </row>
    <row r="39" spans="1:10" ht="19.8" hidden="1" customHeight="1" x14ac:dyDescent="0.25">
      <c r="A39" s="850"/>
      <c r="B39" s="851"/>
      <c r="C39" s="336"/>
      <c r="D39" s="340"/>
      <c r="E39" s="340"/>
      <c r="F39" s="338">
        <f t="shared" ref="F39:F71" si="2">ROUND(C39*D39,2)</f>
        <v>0</v>
      </c>
      <c r="G39" s="336">
        <f t="shared" si="1"/>
        <v>0</v>
      </c>
      <c r="J39" s="42"/>
    </row>
    <row r="40" spans="1:10" ht="19.8" hidden="1" customHeight="1" x14ac:dyDescent="0.25">
      <c r="A40" s="754" t="s">
        <v>255</v>
      </c>
      <c r="B40" s="749"/>
      <c r="C40" s="336">
        <f>IF(I9=1,J33,0)</f>
        <v>700.35</v>
      </c>
      <c r="D40" s="337">
        <f>'Masque de Saisie'!G12</f>
        <v>0</v>
      </c>
      <c r="E40" s="337">
        <f>'Masque de Saisie'!H12</f>
        <v>0</v>
      </c>
      <c r="F40" s="338">
        <f t="shared" si="2"/>
        <v>0</v>
      </c>
      <c r="G40" s="336">
        <f t="shared" si="1"/>
        <v>0</v>
      </c>
      <c r="J40" s="42"/>
    </row>
    <row r="41" spans="1:10" ht="22.2" hidden="1" customHeight="1" x14ac:dyDescent="0.25">
      <c r="A41" s="793"/>
      <c r="B41" s="793"/>
      <c r="C41" s="336"/>
      <c r="D41" s="337"/>
      <c r="E41" s="337"/>
      <c r="F41" s="338">
        <f t="shared" si="2"/>
        <v>0</v>
      </c>
      <c r="G41" s="336">
        <f t="shared" si="1"/>
        <v>0</v>
      </c>
      <c r="J41" s="42"/>
    </row>
    <row r="42" spans="1:10" ht="22.2" hidden="1" customHeight="1" x14ac:dyDescent="0.25">
      <c r="A42" s="793"/>
      <c r="B42" s="793"/>
      <c r="C42" s="340"/>
      <c r="D42" s="340"/>
      <c r="E42" s="340"/>
      <c r="F42" s="338">
        <f t="shared" si="2"/>
        <v>0</v>
      </c>
      <c r="G42" s="336">
        <f t="shared" si="1"/>
        <v>0</v>
      </c>
      <c r="J42" s="42"/>
    </row>
    <row r="43" spans="1:10" ht="19.8" hidden="1" customHeight="1" x14ac:dyDescent="0.25">
      <c r="A43" s="754" t="s">
        <v>201</v>
      </c>
      <c r="B43" s="749"/>
      <c r="C43" s="336">
        <f>IF(I9=2,J33,0)</f>
        <v>0</v>
      </c>
      <c r="D43" s="337">
        <f>'Masque de Saisie'!G15</f>
        <v>0</v>
      </c>
      <c r="E43" s="337">
        <f>'Masque de Saisie'!H15</f>
        <v>0</v>
      </c>
      <c r="F43" s="338">
        <f t="shared" si="2"/>
        <v>0</v>
      </c>
      <c r="G43" s="336">
        <f t="shared" si="1"/>
        <v>0</v>
      </c>
      <c r="J43" s="42"/>
    </row>
    <row r="44" spans="1:10" ht="22.2" hidden="1" customHeight="1" x14ac:dyDescent="0.25">
      <c r="A44" s="741" t="s">
        <v>206</v>
      </c>
      <c r="B44" s="741"/>
      <c r="C44" s="336">
        <f>IF(I9=2,IF(E76=0,IF(J33&gt;C33,C33,J33),0),0)</f>
        <v>0</v>
      </c>
      <c r="D44" s="337"/>
      <c r="E44" s="337">
        <f>VLOOKUP(A44,TAUX2023,4,FALSE)</f>
        <v>1.4999999999999999E-2</v>
      </c>
      <c r="F44" s="350">
        <f>ROUND(C44*D44,2)</f>
        <v>0</v>
      </c>
      <c r="G44" s="213">
        <f>ROUND(C44*E44,2)</f>
        <v>0</v>
      </c>
      <c r="J44" s="42"/>
    </row>
    <row r="45" spans="1:10" ht="22.2" hidden="1" customHeight="1" x14ac:dyDescent="0.25">
      <c r="A45" s="793" t="s">
        <v>207</v>
      </c>
      <c r="B45" s="793"/>
      <c r="C45" s="341"/>
      <c r="D45" s="337">
        <f>VLOOKUP(A45,TAUX2023,3,FALSE)</f>
        <v>0</v>
      </c>
      <c r="E45" s="337">
        <f>VLOOKUP(A45,TAUX2023,4,FALSE)</f>
        <v>0</v>
      </c>
      <c r="F45" s="338">
        <f t="shared" si="2"/>
        <v>0</v>
      </c>
      <c r="G45" s="336">
        <f t="shared" si="1"/>
        <v>0</v>
      </c>
      <c r="J45" s="42"/>
    </row>
    <row r="46" spans="1:10" ht="22.2" hidden="1" customHeight="1" x14ac:dyDescent="0.25">
      <c r="A46" s="793" t="s">
        <v>208</v>
      </c>
      <c r="B46" s="793"/>
      <c r="C46" s="336"/>
      <c r="D46" s="337">
        <f>VLOOKUP(A46,TAUX2023,3,FALSE)</f>
        <v>0</v>
      </c>
      <c r="E46" s="337">
        <f>VLOOKUP(A46,TAUX2023,4,FALSE)</f>
        <v>0</v>
      </c>
      <c r="F46" s="338">
        <f t="shared" si="2"/>
        <v>0</v>
      </c>
      <c r="G46" s="336">
        <f t="shared" si="1"/>
        <v>0</v>
      </c>
      <c r="J46" s="42"/>
    </row>
    <row r="47" spans="1:10" ht="22.2" hidden="1" customHeight="1" x14ac:dyDescent="0.25">
      <c r="A47" s="794"/>
      <c r="B47" s="794"/>
      <c r="C47" s="336"/>
      <c r="D47" s="337"/>
      <c r="E47" s="337"/>
      <c r="F47" s="338">
        <f t="shared" si="2"/>
        <v>0</v>
      </c>
      <c r="G47" s="336">
        <f t="shared" si="1"/>
        <v>0</v>
      </c>
      <c r="J47" s="42"/>
    </row>
    <row r="48" spans="1:10" ht="22.2" hidden="1" customHeight="1" x14ac:dyDescent="0.25">
      <c r="A48" s="58"/>
      <c r="B48" s="58"/>
      <c r="C48" s="336"/>
      <c r="D48" s="340"/>
      <c r="E48" s="340"/>
      <c r="F48" s="338">
        <f t="shared" si="2"/>
        <v>0</v>
      </c>
      <c r="G48" s="336">
        <f t="shared" si="1"/>
        <v>0</v>
      </c>
      <c r="J48" s="42"/>
    </row>
    <row r="49" spans="1:17" ht="21.6" hidden="1" customHeight="1" x14ac:dyDescent="0.25">
      <c r="A49" s="822" t="s">
        <v>37</v>
      </c>
      <c r="B49" s="823"/>
      <c r="C49" s="342">
        <f>C38</f>
        <v>0</v>
      </c>
      <c r="D49" s="337"/>
      <c r="E49" s="337">
        <f>'Masque de Saisie'!H21</f>
        <v>1.7000000000000001E-2</v>
      </c>
      <c r="F49" s="338"/>
      <c r="G49" s="336">
        <f t="shared" si="1"/>
        <v>0</v>
      </c>
      <c r="J49" s="42"/>
      <c r="L49" s="821"/>
    </row>
    <row r="50" spans="1:17" ht="19.8" hidden="1" customHeight="1" x14ac:dyDescent="0.25">
      <c r="A50" s="822" t="s">
        <v>38</v>
      </c>
      <c r="B50" s="823"/>
      <c r="C50" s="343"/>
      <c r="D50" s="337"/>
      <c r="E50" s="337"/>
      <c r="F50" s="338"/>
      <c r="G50" s="336"/>
      <c r="L50" s="821"/>
    </row>
    <row r="51" spans="1:17" ht="18.75" hidden="1" customHeight="1" x14ac:dyDescent="0.25">
      <c r="A51" s="799" t="s">
        <v>39</v>
      </c>
      <c r="B51" s="754"/>
      <c r="C51" s="336">
        <f>C38</f>
        <v>0</v>
      </c>
      <c r="D51" s="337">
        <f>VLOOKUP(A51,TAUX2023,3,FALSE)</f>
        <v>6.9000000000000006E-2</v>
      </c>
      <c r="E51" s="337">
        <f>VLOOKUP(A51,TAUX2023,4,FALSE)</f>
        <v>8.5500000000000007E-2</v>
      </c>
      <c r="F51" s="338">
        <f t="shared" si="2"/>
        <v>0</v>
      </c>
      <c r="G51" s="336">
        <f t="shared" si="1"/>
        <v>0</v>
      </c>
    </row>
    <row r="52" spans="1:17" ht="17.399999999999999" hidden="1" customHeight="1" x14ac:dyDescent="0.25">
      <c r="A52" s="799" t="s">
        <v>40</v>
      </c>
      <c r="B52" s="754"/>
      <c r="C52" s="336">
        <f>C38</f>
        <v>0</v>
      </c>
      <c r="D52" s="337">
        <f>VLOOKUP(A52,TAUX2023,3,FALSE)</f>
        <v>4.0000000000000001E-3</v>
      </c>
      <c r="E52" s="337">
        <f>VLOOKUP(A52,TAUX2023,4,FALSE)</f>
        <v>2.0199999999999999E-2</v>
      </c>
      <c r="F52" s="338">
        <f t="shared" si="2"/>
        <v>0</v>
      </c>
      <c r="G52" s="336">
        <f t="shared" si="1"/>
        <v>0</v>
      </c>
    </row>
    <row r="53" spans="1:17" ht="14.4" hidden="1" customHeight="1" x14ac:dyDescent="0.3">
      <c r="A53" s="799" t="s">
        <v>41</v>
      </c>
      <c r="B53" s="754"/>
      <c r="C53" s="336"/>
      <c r="D53" s="344">
        <f>IF(J33&gt;C33,'TABLE DES TAUX 2025 '!E73,'TABLE DES TAUX 2025 '!C73)</f>
        <v>4.0099999999999997E-2</v>
      </c>
      <c r="E53" s="344">
        <f>IF(J33&gt;C33,'TABLE DES TAUX 2025 '!F73,'TABLE DES TAUX 2025 '!D73)</f>
        <v>6.0100000000000001E-2</v>
      </c>
      <c r="F53" s="338">
        <f t="shared" si="2"/>
        <v>0</v>
      </c>
      <c r="G53" s="336">
        <f t="shared" si="1"/>
        <v>0</v>
      </c>
      <c r="H53" s="230"/>
      <c r="I53" s="231"/>
      <c r="J53" s="232"/>
      <c r="K53" s="232"/>
      <c r="M53" s="828"/>
      <c r="N53" s="828"/>
      <c r="O53" s="828"/>
    </row>
    <row r="54" spans="1:17" ht="14.4" hidden="1" customHeight="1" x14ac:dyDescent="0.3">
      <c r="A54" s="799" t="s">
        <v>42</v>
      </c>
      <c r="B54" s="754"/>
      <c r="C54" s="345">
        <f>IF(J33&gt;C33,IF(J33&gt;8*C33,7*C33,J33-C33),0)</f>
        <v>0</v>
      </c>
      <c r="D54" s="344">
        <f>IF(J33&gt;C33,'TABLE DES TAUX 2025 '!E79,0)</f>
        <v>0</v>
      </c>
      <c r="E54" s="346">
        <f>IF(J33&gt;C33,'TABLE DES TAUX 2025 '!F79,0)</f>
        <v>0</v>
      </c>
      <c r="F54" s="338">
        <f t="shared" si="2"/>
        <v>0</v>
      </c>
      <c r="G54" s="336">
        <f t="shared" si="1"/>
        <v>0</v>
      </c>
      <c r="H54" s="230"/>
      <c r="I54" s="231"/>
      <c r="J54" s="232"/>
      <c r="K54" s="232"/>
      <c r="M54" s="829"/>
      <c r="N54" s="829"/>
      <c r="O54" s="234"/>
      <c r="P54" s="235"/>
      <c r="Q54" s="234"/>
    </row>
    <row r="55" spans="1:17" ht="14.4" hidden="1" customHeight="1" x14ac:dyDescent="0.3">
      <c r="A55" s="836"/>
      <c r="B55" s="837"/>
      <c r="C55" s="336"/>
      <c r="D55" s="346"/>
      <c r="E55" s="346">
        <f>IF(I33&gt;B32,'TABLE DES TAUX 2025 '!F78,0)</f>
        <v>0</v>
      </c>
      <c r="F55" s="338">
        <f t="shared" si="2"/>
        <v>0</v>
      </c>
      <c r="G55" s="336">
        <f t="shared" si="1"/>
        <v>0</v>
      </c>
      <c r="H55" s="230"/>
      <c r="I55" s="231"/>
      <c r="J55" s="232"/>
      <c r="K55" s="232"/>
      <c r="M55" s="233"/>
      <c r="N55" s="233"/>
      <c r="O55" s="234"/>
      <c r="P55" s="235"/>
      <c r="Q55" s="234"/>
    </row>
    <row r="56" spans="1:17" ht="14.4" hidden="1" customHeight="1" x14ac:dyDescent="0.3">
      <c r="A56" s="836"/>
      <c r="B56" s="837"/>
      <c r="C56" s="336"/>
      <c r="D56" s="346"/>
      <c r="E56" s="346">
        <f>IF(I34&gt;B33,'TABLE DES TAUX 2025 '!F79,0)</f>
        <v>0</v>
      </c>
      <c r="F56" s="338">
        <f t="shared" si="2"/>
        <v>0</v>
      </c>
      <c r="G56" s="336">
        <f t="shared" si="1"/>
        <v>0</v>
      </c>
      <c r="H56" s="230"/>
      <c r="I56" s="231"/>
      <c r="J56" s="232"/>
      <c r="K56" s="232"/>
      <c r="M56" s="233"/>
      <c r="N56" s="233"/>
      <c r="O56" s="234"/>
      <c r="P56" s="235"/>
      <c r="Q56" s="234"/>
    </row>
    <row r="57" spans="1:17" ht="19.8" hidden="1" customHeight="1" x14ac:dyDescent="0.3">
      <c r="A57" s="797" t="s">
        <v>43</v>
      </c>
      <c r="B57" s="798"/>
      <c r="C57" s="336"/>
      <c r="D57" s="337"/>
      <c r="E57" s="346"/>
      <c r="F57" s="338"/>
      <c r="G57" s="336"/>
      <c r="H57" s="230"/>
      <c r="I57" s="838"/>
      <c r="J57" s="838"/>
      <c r="M57" s="827"/>
      <c r="N57" s="827"/>
      <c r="P57" s="237"/>
      <c r="Q57" s="228"/>
    </row>
    <row r="58" spans="1:17" ht="18.600000000000001" hidden="1" customHeight="1" x14ac:dyDescent="0.3">
      <c r="A58" s="799" t="s">
        <v>256</v>
      </c>
      <c r="B58" s="754"/>
      <c r="C58" s="336">
        <f>C51</f>
        <v>0</v>
      </c>
      <c r="D58" s="337"/>
      <c r="E58" s="310">
        <f>VLOOKUP(A58,TAUX2023,4,FALSE)</f>
        <v>3.4500000000000003E-2</v>
      </c>
      <c r="F58" s="338"/>
      <c r="G58" s="336">
        <f t="shared" si="1"/>
        <v>0</v>
      </c>
      <c r="H58" s="230"/>
      <c r="I58" s="271"/>
      <c r="J58" s="271"/>
      <c r="M58" s="236"/>
      <c r="N58" s="236"/>
      <c r="P58" s="237"/>
      <c r="Q58" s="228"/>
    </row>
    <row r="59" spans="1:17" ht="18" hidden="1" customHeight="1" x14ac:dyDescent="0.3">
      <c r="A59" s="799" t="s">
        <v>257</v>
      </c>
      <c r="B59" s="754"/>
      <c r="C59" s="336">
        <f>C58</f>
        <v>0</v>
      </c>
      <c r="D59" s="337"/>
      <c r="E59" s="310">
        <f>VLOOKUP(A59,TAUX2023,4,FALSE)</f>
        <v>1.7999999999999999E-2</v>
      </c>
      <c r="F59" s="338"/>
      <c r="G59" s="336">
        <f t="shared" si="1"/>
        <v>0</v>
      </c>
      <c r="H59" s="230"/>
      <c r="I59" s="23"/>
      <c r="J59" s="271"/>
      <c r="M59" s="236"/>
      <c r="N59" s="236"/>
      <c r="P59" s="237"/>
      <c r="Q59" s="228"/>
    </row>
    <row r="60" spans="1:17" ht="18.600000000000001" hidden="1" customHeight="1" x14ac:dyDescent="0.3">
      <c r="A60" s="797" t="s">
        <v>44</v>
      </c>
      <c r="B60" s="798"/>
      <c r="C60" s="340"/>
      <c r="D60" s="347"/>
      <c r="E60" s="346"/>
      <c r="F60" s="338"/>
      <c r="G60" s="336"/>
      <c r="H60" s="238"/>
      <c r="I60" s="23"/>
      <c r="J60" s="271"/>
      <c r="M60" s="827"/>
      <c r="N60" s="827"/>
      <c r="O60" s="239"/>
      <c r="Q60" s="24">
        <f>'[2]TABLE DES TAUX 2019'!C12+'[2]TABLE DES TAUX 2019'!C14+'[2]TABLE DES TAUX 2019'!C35+'[2]TABLE DES TAUX 2019'!C37</f>
        <v>1.546</v>
      </c>
    </row>
    <row r="61" spans="1:17" ht="18" hidden="1" customHeight="1" x14ac:dyDescent="0.3">
      <c r="A61" s="799" t="s">
        <v>245</v>
      </c>
      <c r="B61" s="754"/>
      <c r="C61" s="341"/>
      <c r="D61" s="346"/>
      <c r="E61" s="578">
        <f>IF(H10&gt;=45778,4%,4.05%)+'TABLE DES TAUX 2025 '!E14</f>
        <v>4.2500000000000003E-2</v>
      </c>
      <c r="F61" s="338"/>
      <c r="G61" s="336">
        <f t="shared" si="1"/>
        <v>0</v>
      </c>
      <c r="H61" s="238"/>
      <c r="I61" s="23"/>
      <c r="J61" s="271"/>
      <c r="M61" s="236"/>
      <c r="N61" s="236"/>
      <c r="O61" s="239"/>
    </row>
    <row r="62" spans="1:17" ht="0.75" hidden="1" customHeight="1" x14ac:dyDescent="0.3">
      <c r="A62" s="799"/>
      <c r="B62" s="754"/>
      <c r="C62" s="341"/>
      <c r="D62" s="346"/>
      <c r="E62" s="348"/>
      <c r="F62" s="338">
        <f t="shared" si="2"/>
        <v>0</v>
      </c>
      <c r="G62" s="336">
        <f t="shared" si="1"/>
        <v>0</v>
      </c>
      <c r="H62" s="238"/>
      <c r="I62" s="23"/>
      <c r="J62" s="271"/>
      <c r="M62" s="236"/>
      <c r="N62" s="236"/>
      <c r="O62" s="239"/>
    </row>
    <row r="63" spans="1:17" ht="17.25" hidden="1" customHeight="1" x14ac:dyDescent="0.3">
      <c r="A63" s="799" t="s">
        <v>284</v>
      </c>
      <c r="B63" s="754"/>
      <c r="C63" s="341">
        <f>IF(I9=2,C61,0)</f>
        <v>0</v>
      </c>
      <c r="D63" s="349">
        <f>VLOOKUP(A63,TAUX2023,3,FALSE)</f>
        <v>2.4000000000000001E-4</v>
      </c>
      <c r="E63" s="349">
        <f>VLOOKUP(A63,TAUX2023,4,FALSE)</f>
        <v>3.6000000000000002E-4</v>
      </c>
      <c r="F63" s="338">
        <f t="shared" si="2"/>
        <v>0</v>
      </c>
      <c r="G63" s="336">
        <f t="shared" si="1"/>
        <v>0</v>
      </c>
      <c r="H63" s="238"/>
      <c r="J63" s="42"/>
      <c r="M63" s="236"/>
      <c r="N63" s="236"/>
      <c r="O63" s="239"/>
    </row>
    <row r="64" spans="1:17" ht="26.25" hidden="1" customHeight="1" x14ac:dyDescent="0.3">
      <c r="A64" s="797" t="s">
        <v>45</v>
      </c>
      <c r="B64" s="798"/>
      <c r="C64" s="336"/>
      <c r="D64" s="336"/>
      <c r="E64" s="350"/>
      <c r="F64" s="338"/>
      <c r="G64" s="336">
        <f>E138</f>
        <v>0</v>
      </c>
      <c r="M64" s="827"/>
      <c r="N64" s="827"/>
      <c r="O64" s="230"/>
    </row>
    <row r="65" spans="1:11" ht="34.5" hidden="1" customHeight="1" x14ac:dyDescent="0.25">
      <c r="A65" s="830" t="s">
        <v>47</v>
      </c>
      <c r="B65" s="831"/>
      <c r="C65" s="351"/>
      <c r="D65" s="352"/>
      <c r="E65" s="353"/>
      <c r="F65" s="338"/>
      <c r="G65" s="336"/>
      <c r="I65" s="23"/>
      <c r="J65" s="271"/>
    </row>
    <row r="66" spans="1:11" ht="22.5" hidden="1" customHeight="1" x14ac:dyDescent="0.25">
      <c r="A66" s="796" t="s">
        <v>48</v>
      </c>
      <c r="B66" s="796"/>
      <c r="C66" s="345">
        <f>C59*0.9825</f>
        <v>0</v>
      </c>
      <c r="D66" s="354">
        <f>VLOOKUP(A66,TAUX2023,3,FALSE)</f>
        <v>6.8000000000000005E-2</v>
      </c>
      <c r="E66" s="336"/>
      <c r="F66" s="338">
        <f t="shared" si="2"/>
        <v>0</v>
      </c>
      <c r="G66" s="336"/>
      <c r="I66" s="23"/>
      <c r="J66" s="271"/>
    </row>
    <row r="67" spans="1:11" ht="0.6" hidden="1" customHeight="1" x14ac:dyDescent="0.25">
      <c r="A67" s="796" t="s">
        <v>49</v>
      </c>
      <c r="B67" s="796"/>
      <c r="C67" s="345">
        <f>C66</f>
        <v>0</v>
      </c>
      <c r="D67" s="354">
        <f>VLOOKUP(A67,TAUX2023,3,FALSE)</f>
        <v>2.9000000000000001E-2</v>
      </c>
      <c r="E67" s="336"/>
      <c r="F67" s="338">
        <f t="shared" si="2"/>
        <v>0</v>
      </c>
      <c r="G67" s="336"/>
      <c r="I67" s="23"/>
      <c r="J67" s="271"/>
      <c r="K67" s="228"/>
    </row>
    <row r="68" spans="1:11" ht="24" hidden="1" customHeight="1" x14ac:dyDescent="0.25">
      <c r="A68" s="796" t="s">
        <v>248</v>
      </c>
      <c r="B68" s="796"/>
      <c r="C68" s="345"/>
      <c r="D68" s="354">
        <f>D66</f>
        <v>6.8000000000000005E-2</v>
      </c>
      <c r="E68" s="336"/>
      <c r="F68" s="338">
        <f t="shared" si="2"/>
        <v>0</v>
      </c>
      <c r="G68" s="336"/>
      <c r="J68" s="228"/>
      <c r="K68" s="228"/>
    </row>
    <row r="69" spans="1:11" ht="24" hidden="1" customHeight="1" x14ac:dyDescent="0.25">
      <c r="A69" s="796" t="s">
        <v>249</v>
      </c>
      <c r="B69" s="796"/>
      <c r="C69" s="345"/>
      <c r="D69" s="354">
        <f>D66</f>
        <v>6.8000000000000005E-2</v>
      </c>
      <c r="E69" s="336"/>
      <c r="F69" s="338">
        <f t="shared" si="2"/>
        <v>0</v>
      </c>
      <c r="G69" s="336"/>
      <c r="J69" s="228"/>
      <c r="K69" s="228"/>
    </row>
    <row r="70" spans="1:11" ht="27.6" hidden="1" customHeight="1" x14ac:dyDescent="0.25">
      <c r="A70" s="796" t="s">
        <v>250</v>
      </c>
      <c r="B70" s="796"/>
      <c r="C70" s="336"/>
      <c r="D70" s="354">
        <f>D67</f>
        <v>2.9000000000000001E-2</v>
      </c>
      <c r="E70" s="336"/>
      <c r="F70" s="338">
        <f t="shared" si="2"/>
        <v>0</v>
      </c>
      <c r="G70" s="336"/>
      <c r="J70" s="228"/>
      <c r="K70" s="228"/>
    </row>
    <row r="71" spans="1:11" ht="24.6" hidden="1" customHeight="1" x14ac:dyDescent="0.25">
      <c r="A71" s="797" t="s">
        <v>287</v>
      </c>
      <c r="B71" s="798"/>
      <c r="C71" s="355"/>
      <c r="D71" s="355"/>
      <c r="E71" s="356"/>
      <c r="F71" s="338">
        <f t="shared" si="2"/>
        <v>0</v>
      </c>
      <c r="G71" s="311">
        <f>-'HEURES SUPPLEMENTAIRES '!A145-'Red Gen de CoBP Format Juillet'!I16</f>
        <v>0</v>
      </c>
      <c r="J71" s="228"/>
      <c r="K71" s="228"/>
    </row>
    <row r="72" spans="1:11" ht="24.6" hidden="1" customHeight="1" x14ac:dyDescent="0.25">
      <c r="A72" s="799" t="s">
        <v>53</v>
      </c>
      <c r="B72" s="754"/>
      <c r="C72" s="336">
        <f>'HEURES SUPPLEMENTAIRES '!E57</f>
        <v>0</v>
      </c>
      <c r="D72" s="357"/>
      <c r="E72" s="358"/>
      <c r="F72" s="338">
        <f>-ROUND(C72*D72,2)</f>
        <v>0</v>
      </c>
      <c r="G72" s="359"/>
      <c r="J72" s="228"/>
      <c r="K72" s="228"/>
    </row>
    <row r="73" spans="1:11" ht="23.4" customHeight="1" x14ac:dyDescent="0.25">
      <c r="A73" s="799" t="s">
        <v>54</v>
      </c>
      <c r="B73" s="754"/>
      <c r="C73" s="336"/>
      <c r="D73" s="336"/>
      <c r="E73" s="350"/>
      <c r="F73" s="360">
        <f>SUM(F37:F72)</f>
        <v>0</v>
      </c>
      <c r="G73" s="361">
        <f>SUM(G37:G72)</f>
        <v>0</v>
      </c>
      <c r="J73" s="228"/>
    </row>
    <row r="74" spans="1:11" ht="21" hidden="1" customHeight="1" x14ac:dyDescent="0.25">
      <c r="A74" s="832" t="s">
        <v>258</v>
      </c>
      <c r="B74" s="833"/>
      <c r="C74" s="336"/>
      <c r="D74" s="336"/>
      <c r="E74" s="350"/>
      <c r="F74" s="350"/>
      <c r="G74" s="336"/>
      <c r="H74" s="228"/>
      <c r="I74" s="228"/>
    </row>
    <row r="75" spans="1:11" ht="21" hidden="1" customHeight="1" x14ac:dyDescent="0.25">
      <c r="A75" s="754" t="s">
        <v>259</v>
      </c>
      <c r="B75" s="749"/>
      <c r="C75" s="336">
        <f>IF(I9=1,J33,0)</f>
        <v>700.35</v>
      </c>
      <c r="D75" s="354">
        <f>'Masque de Saisie'!G13</f>
        <v>0</v>
      </c>
      <c r="E75" s="354">
        <f>'Masque de Saisie'!H13</f>
        <v>0</v>
      </c>
      <c r="F75" s="350">
        <f>ROUND(C75*D75,2)</f>
        <v>0</v>
      </c>
      <c r="G75" s="213">
        <f>ROUND(C75*E75,2)</f>
        <v>0</v>
      </c>
      <c r="I75" s="228"/>
    </row>
    <row r="76" spans="1:11" ht="21" hidden="1" customHeight="1" x14ac:dyDescent="0.25">
      <c r="A76" s="754" t="s">
        <v>260</v>
      </c>
      <c r="B76" s="749"/>
      <c r="C76" s="336">
        <f>IF(I9=2,J33,0)</f>
        <v>0</v>
      </c>
      <c r="D76" s="354">
        <f>'Masque de Saisie'!G16</f>
        <v>0</v>
      </c>
      <c r="E76" s="354">
        <f>'Masque de Saisie'!H16</f>
        <v>0</v>
      </c>
      <c r="F76" s="350">
        <f>ROUND(C76*D76,2)</f>
        <v>0</v>
      </c>
      <c r="G76" s="213">
        <f>ROUND(C76*E76,2)</f>
        <v>0</v>
      </c>
      <c r="I76" s="241"/>
      <c r="J76" s="242"/>
      <c r="K76" s="241"/>
    </row>
    <row r="77" spans="1:11" ht="21" hidden="1" customHeight="1" x14ac:dyDescent="0.25">
      <c r="I77" s="241"/>
      <c r="J77" s="242"/>
      <c r="K77" s="241"/>
    </row>
    <row r="78" spans="1:11" ht="21" hidden="1" customHeight="1" x14ac:dyDescent="0.25">
      <c r="A78" s="741" t="s">
        <v>406</v>
      </c>
      <c r="B78" s="741"/>
      <c r="C78" s="336"/>
      <c r="D78" s="354">
        <f>'Masque de Saisie'!G17</f>
        <v>0</v>
      </c>
      <c r="E78" s="354">
        <f>'Masque de Saisie'!H16</f>
        <v>0</v>
      </c>
      <c r="F78" s="350">
        <f t="shared" ref="F78" si="3">ROUND(C78*D78,2)</f>
        <v>0</v>
      </c>
      <c r="G78" s="213">
        <f t="shared" ref="G78" si="4">ROUND(C78*E78,2)</f>
        <v>0</v>
      </c>
      <c r="K78" s="228"/>
    </row>
    <row r="79" spans="1:11" ht="21" customHeight="1" x14ac:dyDescent="0.25">
      <c r="A79" s="800" t="s">
        <v>231</v>
      </c>
      <c r="B79" s="801"/>
      <c r="C79" s="340"/>
      <c r="D79" s="347"/>
      <c r="E79" s="347"/>
      <c r="F79" s="362">
        <f>J33-F73-F75-F76+F83</f>
        <v>700.35</v>
      </c>
      <c r="G79" s="340"/>
      <c r="K79" s="228"/>
    </row>
    <row r="80" spans="1:11" ht="15.75" customHeight="1" x14ac:dyDescent="0.25">
      <c r="A80" s="754" t="s">
        <v>261</v>
      </c>
      <c r="B80" s="749"/>
      <c r="C80" s="340"/>
      <c r="D80" s="347"/>
      <c r="E80" s="347"/>
      <c r="F80" s="340">
        <f>'Masque de Saisie'!E47*'Masque de Saisie'!E48</f>
        <v>138</v>
      </c>
      <c r="G80" s="340">
        <f>'Masque de Saisie'!E47*'Masque de Saisie'!E49</f>
        <v>138</v>
      </c>
      <c r="K80" s="228"/>
    </row>
    <row r="81" spans="1:13" ht="18" customHeight="1" x14ac:dyDescent="0.25">
      <c r="A81" s="754" t="s">
        <v>262</v>
      </c>
      <c r="B81" s="749"/>
      <c r="C81" s="340"/>
      <c r="D81" s="347"/>
      <c r="E81" s="347"/>
      <c r="F81" s="431">
        <f>'Masque de Saisie'!E50</f>
        <v>44.4</v>
      </c>
      <c r="G81" s="351"/>
      <c r="K81" s="228"/>
    </row>
    <row r="82" spans="1:13" ht="22.5" hidden="1" customHeight="1" x14ac:dyDescent="0.25">
      <c r="A82" s="750" t="s">
        <v>285</v>
      </c>
      <c r="B82" s="751"/>
      <c r="C82" s="304"/>
      <c r="D82" s="305"/>
      <c r="E82" s="305"/>
      <c r="F82" s="306"/>
      <c r="G82" s="306"/>
      <c r="K82" s="228"/>
    </row>
    <row r="83" spans="1:13" ht="22.2" hidden="1" customHeight="1" x14ac:dyDescent="0.25">
      <c r="A83" s="754" t="s">
        <v>469</v>
      </c>
      <c r="B83" s="749"/>
      <c r="C83" s="304"/>
      <c r="D83" s="305"/>
      <c r="E83" s="305"/>
      <c r="F83" s="495"/>
      <c r="G83" s="306"/>
      <c r="K83" s="228"/>
    </row>
    <row r="84" spans="1:13" customFormat="1" ht="23.25" customHeight="1" x14ac:dyDescent="0.3">
      <c r="A84" s="795" t="s">
        <v>64</v>
      </c>
      <c r="B84" s="795"/>
      <c r="C84" s="795"/>
      <c r="D84" s="795"/>
      <c r="E84" s="795"/>
      <c r="F84" s="795"/>
      <c r="G84" s="795"/>
      <c r="H84" s="795"/>
      <c r="I84" s="795"/>
      <c r="J84" s="834">
        <f>J33-F73-F75-F76-F44-F78-F80+F81-F82+F83</f>
        <v>606.75</v>
      </c>
      <c r="K84" s="835"/>
      <c r="L84" s="835"/>
    </row>
    <row r="85" spans="1:13" customFormat="1" ht="18" customHeight="1" x14ac:dyDescent="0.3">
      <c r="A85" s="795" t="s">
        <v>232</v>
      </c>
      <c r="B85" s="795"/>
      <c r="C85" s="795"/>
      <c r="D85" s="795"/>
      <c r="E85" s="795"/>
      <c r="F85" s="795"/>
      <c r="G85" s="795"/>
      <c r="H85" s="795"/>
      <c r="I85" s="795"/>
      <c r="J85" s="834">
        <f>J33</f>
        <v>700.35</v>
      </c>
      <c r="K85" s="835"/>
      <c r="L85" s="835"/>
      <c r="M85" s="2"/>
    </row>
    <row r="86" spans="1:13" customFormat="1" ht="23.25" customHeight="1" x14ac:dyDescent="0.3">
      <c r="A86" s="824" t="s">
        <v>233</v>
      </c>
      <c r="B86" s="824"/>
      <c r="C86" s="824"/>
      <c r="D86" s="824"/>
      <c r="E86" s="824"/>
      <c r="F86" s="824"/>
      <c r="G86" s="824"/>
      <c r="H86" s="824"/>
      <c r="I86" s="824"/>
      <c r="J86" s="826">
        <f>'HEURES SUPPLEMENTAIRES '!E57-F68</f>
        <v>0</v>
      </c>
      <c r="K86" s="826"/>
      <c r="L86" s="68"/>
    </row>
    <row r="87" spans="1:13" customFormat="1" ht="23.25" customHeight="1" x14ac:dyDescent="0.3">
      <c r="A87" s="824" t="s">
        <v>321</v>
      </c>
      <c r="B87" s="824"/>
      <c r="C87" s="824"/>
      <c r="D87" s="824"/>
      <c r="E87" s="824"/>
      <c r="F87" s="824"/>
      <c r="G87" s="824"/>
      <c r="H87" s="824"/>
      <c r="I87" s="824"/>
      <c r="J87" s="499">
        <f>'HEURES SUPPLEMENTAIRES '!G57</f>
        <v>0</v>
      </c>
      <c r="K87" s="500"/>
      <c r="L87" s="501"/>
    </row>
    <row r="88" spans="1:13" customFormat="1" ht="23.25" customHeight="1" x14ac:dyDescent="0.3">
      <c r="A88" s="808" t="s">
        <v>234</v>
      </c>
      <c r="B88" s="809"/>
      <c r="C88" s="810"/>
      <c r="D88" s="784" t="s">
        <v>59</v>
      </c>
      <c r="E88" s="784"/>
      <c r="F88" s="784" t="s">
        <v>66</v>
      </c>
      <c r="G88" s="784"/>
      <c r="H88" s="363" t="s">
        <v>60</v>
      </c>
      <c r="I88" s="65"/>
      <c r="J88" s="825" t="s">
        <v>320</v>
      </c>
      <c r="K88" s="825"/>
      <c r="L88" s="58"/>
    </row>
    <row r="89" spans="1:13" customFormat="1" ht="20.25" customHeight="1" x14ac:dyDescent="0.3">
      <c r="A89" s="811"/>
      <c r="B89" s="812"/>
      <c r="C89" s="813"/>
      <c r="D89" s="814"/>
      <c r="E89" s="815"/>
      <c r="F89" s="816">
        <f>'TAUX NEUTRE '!H12</f>
        <v>0</v>
      </c>
      <c r="G89" s="817"/>
      <c r="H89" s="364">
        <f>ROUND(D89*F89,2)</f>
        <v>0</v>
      </c>
      <c r="I89" s="65"/>
      <c r="J89" s="58"/>
      <c r="K89" s="58"/>
      <c r="L89" s="58"/>
    </row>
    <row r="90" spans="1:13" customFormat="1" ht="14.4" x14ac:dyDescent="0.3">
      <c r="A90" s="806" t="s">
        <v>286</v>
      </c>
      <c r="B90" s="806"/>
      <c r="C90" s="806"/>
      <c r="D90" s="806"/>
      <c r="E90" s="806"/>
      <c r="F90" s="806"/>
      <c r="G90" s="806"/>
      <c r="H90" s="806"/>
      <c r="I90" s="806"/>
      <c r="J90" s="807">
        <f>J84-H89</f>
        <v>606.75</v>
      </c>
      <c r="K90" s="807"/>
      <c r="L90" s="807"/>
    </row>
    <row r="91" spans="1:13" customFormat="1" ht="14.4" x14ac:dyDescent="0.3">
      <c r="A91" s="818" t="s">
        <v>288</v>
      </c>
      <c r="B91" s="819"/>
      <c r="C91" s="819"/>
      <c r="D91" s="819"/>
      <c r="E91" s="819"/>
      <c r="F91" s="819"/>
      <c r="G91" s="819"/>
      <c r="H91" s="819"/>
      <c r="I91" s="820"/>
      <c r="J91" s="804">
        <f>-G71+IF(C59=0,J33*1.8%,0) +IF(C38=0,J33*6%,0)</f>
        <v>54.627300000000005</v>
      </c>
      <c r="K91" s="805"/>
      <c r="L91" s="805"/>
    </row>
    <row r="92" spans="1:13" customFormat="1" ht="14.4" x14ac:dyDescent="0.3">
      <c r="A92" s="806" t="s">
        <v>57</v>
      </c>
      <c r="B92" s="806"/>
      <c r="C92" s="806"/>
      <c r="D92" s="806"/>
      <c r="E92" s="806"/>
      <c r="F92" s="806"/>
      <c r="G92" s="806"/>
      <c r="H92" s="806"/>
      <c r="I92" s="806"/>
      <c r="J92" s="807">
        <f>G73+J33+G75+G76+G44+G78</f>
        <v>700.35</v>
      </c>
      <c r="K92" s="805"/>
      <c r="L92" s="805"/>
    </row>
    <row r="93" spans="1:13" customFormat="1" ht="14.4" x14ac:dyDescent="0.3">
      <c r="A93" s="62"/>
      <c r="B93" s="70" t="s">
        <v>63</v>
      </c>
      <c r="C93" s="70" t="s">
        <v>289</v>
      </c>
      <c r="D93" s="802" t="s">
        <v>291</v>
      </c>
      <c r="E93" s="803"/>
      <c r="F93" s="802" t="s">
        <v>292</v>
      </c>
      <c r="G93" s="803"/>
      <c r="H93" s="365"/>
      <c r="I93" s="365"/>
      <c r="J93" s="179"/>
      <c r="K93" s="366"/>
      <c r="L93" s="366"/>
    </row>
    <row r="94" spans="1:13" customFormat="1" ht="21" customHeight="1" x14ac:dyDescent="0.3">
      <c r="A94" s="367" t="s">
        <v>290</v>
      </c>
      <c r="B94" s="66">
        <f>H89</f>
        <v>0</v>
      </c>
      <c r="C94" s="66"/>
      <c r="D94" s="70" t="s">
        <v>107</v>
      </c>
      <c r="E94" s="66"/>
      <c r="F94" s="70" t="s">
        <v>315</v>
      </c>
      <c r="G94" s="66"/>
      <c r="H94" s="70"/>
      <c r="I94" s="365"/>
      <c r="J94" s="179"/>
      <c r="K94" s="366"/>
      <c r="L94" s="366"/>
    </row>
    <row r="95" spans="1:13" customFormat="1" ht="21" customHeight="1" x14ac:dyDescent="0.3">
      <c r="A95" s="368" t="s">
        <v>294</v>
      </c>
      <c r="B95" s="370">
        <f>C72</f>
        <v>0</v>
      </c>
      <c r="C95" s="370"/>
      <c r="D95" s="70" t="s">
        <v>100</v>
      </c>
      <c r="E95" s="66"/>
      <c r="F95" s="70" t="s">
        <v>247</v>
      </c>
      <c r="G95" s="66"/>
      <c r="H95" s="365"/>
      <c r="I95" s="365"/>
      <c r="J95" s="179"/>
      <c r="K95" s="366"/>
      <c r="L95" s="366"/>
    </row>
    <row r="96" spans="1:13" customFormat="1" ht="17.25" customHeight="1" x14ac:dyDescent="0.3">
      <c r="A96" s="369" t="s">
        <v>185</v>
      </c>
      <c r="B96" s="370">
        <f>J33</f>
        <v>700.35</v>
      </c>
      <c r="C96" s="370"/>
      <c r="D96" s="70" t="s">
        <v>246</v>
      </c>
      <c r="E96" s="66"/>
      <c r="F96" s="70" t="s">
        <v>246</v>
      </c>
      <c r="G96" s="66"/>
      <c r="H96" s="365"/>
      <c r="I96" s="365"/>
      <c r="J96" s="179"/>
      <c r="K96" s="366"/>
      <c r="L96" s="366"/>
    </row>
    <row r="97" spans="1:12" customFormat="1" ht="17.25" customHeight="1" x14ac:dyDescent="0.3">
      <c r="A97" s="369" t="s">
        <v>61</v>
      </c>
      <c r="B97" s="370">
        <f>+J85</f>
        <v>700.35</v>
      </c>
      <c r="C97" s="370"/>
      <c r="D97" s="365"/>
      <c r="E97" s="365"/>
      <c r="F97" s="365"/>
      <c r="G97" s="365"/>
      <c r="H97" s="365"/>
      <c r="I97" s="365"/>
      <c r="J97" s="179"/>
      <c r="K97" s="366"/>
      <c r="L97" s="366"/>
    </row>
    <row r="98" spans="1:12" customFormat="1" ht="15" customHeight="1" x14ac:dyDescent="0.3">
      <c r="A98" s="776" t="s">
        <v>58</v>
      </c>
      <c r="B98" s="776"/>
      <c r="C98" s="776"/>
      <c r="D98" s="776"/>
      <c r="E98" s="776"/>
      <c r="F98" s="23"/>
      <c r="G98" s="23"/>
      <c r="H98" s="23"/>
      <c r="I98" s="23"/>
      <c r="J98" s="23"/>
      <c r="K98" s="23"/>
      <c r="L98" s="23"/>
    </row>
    <row r="99" spans="1:12" s="23" customFormat="1" ht="12" customHeight="1" x14ac:dyDescent="0.2">
      <c r="A99" s="43" t="s">
        <v>62</v>
      </c>
    </row>
    <row r="100" spans="1:12" s="23" customFormat="1" ht="12" customHeight="1" x14ac:dyDescent="0.2">
      <c r="A100" s="23" t="s">
        <v>322</v>
      </c>
    </row>
    <row r="101" spans="1:12" s="23" customFormat="1" ht="12" hidden="1" customHeight="1" x14ac:dyDescent="0.2">
      <c r="A101" s="43"/>
    </row>
    <row r="102" spans="1:12" s="23" customFormat="1" ht="12" hidden="1" customHeight="1" x14ac:dyDescent="0.25">
      <c r="A102" s="246" t="s">
        <v>96</v>
      </c>
      <c r="B102" s="247"/>
      <c r="C102" s="248">
        <v>7.4999999999999997E-3</v>
      </c>
      <c r="D102" s="240">
        <f>ROUND(J33*C102,2)</f>
        <v>5.25</v>
      </c>
      <c r="E102" s="227"/>
      <c r="F102" s="249"/>
      <c r="G102" s="226"/>
      <c r="H102" s="24"/>
      <c r="I102" s="24"/>
    </row>
    <row r="103" spans="1:12" ht="30.75" hidden="1" customHeight="1" x14ac:dyDescent="0.25">
      <c r="A103" s="246" t="s">
        <v>97</v>
      </c>
      <c r="B103" s="247"/>
      <c r="C103" s="250">
        <f>(2.4-0.95)%</f>
        <v>1.4499999999999999E-2</v>
      </c>
      <c r="D103" s="240">
        <f>ROUND(C61*C103,2)</f>
        <v>0</v>
      </c>
      <c r="F103" s="245"/>
    </row>
    <row r="104" spans="1:12" ht="30.75" hidden="1" customHeight="1" x14ac:dyDescent="0.25">
      <c r="A104" s="251" t="s">
        <v>251</v>
      </c>
      <c r="B104" s="247"/>
      <c r="D104" s="227">
        <f>D102+D103</f>
        <v>5.25</v>
      </c>
      <c r="F104" s="245"/>
    </row>
    <row r="105" spans="1:12" ht="30.75" hidden="1" customHeight="1" x14ac:dyDescent="0.25">
      <c r="A105" s="246" t="s">
        <v>252</v>
      </c>
      <c r="C105" s="227"/>
      <c r="F105" s="252"/>
    </row>
    <row r="106" spans="1:12" ht="30.75" hidden="1" customHeight="1" x14ac:dyDescent="0.25">
      <c r="A106" s="246"/>
      <c r="C106" s="227"/>
      <c r="F106" s="252"/>
    </row>
    <row r="107" spans="1:12" ht="30.75" hidden="1" customHeight="1" x14ac:dyDescent="0.25">
      <c r="A107" s="246" t="s">
        <v>98</v>
      </c>
      <c r="B107" s="253"/>
      <c r="C107" s="240">
        <v>1.7000000000000001E-2</v>
      </c>
      <c r="D107" s="240">
        <f>ROUND(C66*C107,2)</f>
        <v>0</v>
      </c>
      <c r="F107" s="252"/>
    </row>
    <row r="108" spans="1:12" ht="30.75" hidden="1" customHeight="1" x14ac:dyDescent="0.25">
      <c r="A108" s="254"/>
      <c r="B108" s="255"/>
      <c r="C108" s="256"/>
      <c r="D108" s="256"/>
      <c r="E108" s="256"/>
      <c r="F108" s="257"/>
    </row>
    <row r="109" spans="1:12" ht="30.75" hidden="1" customHeight="1" x14ac:dyDescent="0.25">
      <c r="A109" s="258" t="s">
        <v>253</v>
      </c>
      <c r="B109" s="259"/>
      <c r="C109" s="260"/>
      <c r="D109" s="260"/>
      <c r="E109" s="260"/>
      <c r="F109" s="261"/>
    </row>
    <row r="110" spans="1:12" ht="30.75" hidden="1" customHeight="1" x14ac:dyDescent="0.25">
      <c r="A110" s="243"/>
      <c r="B110" s="244"/>
      <c r="C110" s="262"/>
      <c r="F110" s="263"/>
    </row>
    <row r="111" spans="1:12" ht="30.75" hidden="1" customHeight="1" x14ac:dyDescent="0.25">
      <c r="A111" s="246" t="s">
        <v>96</v>
      </c>
      <c r="B111" s="247"/>
      <c r="C111" s="248">
        <v>7.4999999999999997E-3</v>
      </c>
      <c r="D111" s="240">
        <f>ROUND(J33*C111,2)</f>
        <v>5.25</v>
      </c>
      <c r="E111" s="226"/>
      <c r="F111" s="245"/>
    </row>
    <row r="112" spans="1:12" ht="30.75" hidden="1" customHeight="1" x14ac:dyDescent="0.25">
      <c r="A112" s="246" t="s">
        <v>97</v>
      </c>
      <c r="B112" s="247"/>
      <c r="C112" s="250">
        <f>(2.4)%</f>
        <v>2.4E-2</v>
      </c>
      <c r="D112" s="240">
        <f>ROUND(C61*C112,2)</f>
        <v>0</v>
      </c>
      <c r="E112" s="264"/>
      <c r="F112" s="245"/>
    </row>
    <row r="113" spans="1:18" ht="30.75" hidden="1" customHeight="1" x14ac:dyDescent="0.25">
      <c r="A113" s="251" t="s">
        <v>254</v>
      </c>
      <c r="B113" s="247"/>
      <c r="E113" s="264"/>
      <c r="F113" s="245"/>
    </row>
    <row r="114" spans="1:18" ht="30.75" hidden="1" customHeight="1" x14ac:dyDescent="0.25">
      <c r="A114" s="246" t="s">
        <v>252</v>
      </c>
      <c r="C114" s="227"/>
      <c r="E114" s="265">
        <f>D112+D111-D116</f>
        <v>5.25</v>
      </c>
      <c r="F114" s="245"/>
    </row>
    <row r="115" spans="1:18" ht="30.75" hidden="1" customHeight="1" x14ac:dyDescent="0.25">
      <c r="A115" s="246"/>
      <c r="C115" s="227"/>
      <c r="E115" s="264"/>
      <c r="F115" s="245"/>
    </row>
    <row r="116" spans="1:18" ht="30.75" hidden="1" customHeight="1" x14ac:dyDescent="0.25">
      <c r="A116" s="246" t="s">
        <v>98</v>
      </c>
      <c r="B116" s="253"/>
      <c r="C116" s="240">
        <v>1.7000000000000001E-2</v>
      </c>
      <c r="D116" s="240">
        <f>ROUND(C66*C116,2)</f>
        <v>0</v>
      </c>
      <c r="F116" s="245"/>
    </row>
    <row r="117" spans="1:18" ht="30.75" hidden="1" customHeight="1" x14ac:dyDescent="0.25">
      <c r="A117" s="266"/>
      <c r="B117" s="267"/>
      <c r="C117" s="268"/>
      <c r="D117" s="268"/>
      <c r="E117" s="268"/>
      <c r="F117" s="269"/>
    </row>
    <row r="118" spans="1:18" ht="30.75" hidden="1" customHeight="1" x14ac:dyDescent="0.25">
      <c r="B118" s="247"/>
    </row>
    <row r="119" spans="1:18" ht="30.75" customHeight="1" x14ac:dyDescent="0.25">
      <c r="B119" s="247"/>
    </row>
    <row r="120" spans="1:18" ht="30.75" customHeight="1" x14ac:dyDescent="0.25">
      <c r="B120" s="247"/>
    </row>
    <row r="121" spans="1:18" ht="30.75" customHeight="1" x14ac:dyDescent="0.25">
      <c r="B121" s="247"/>
    </row>
    <row r="122" spans="1:18" ht="30.75" customHeight="1" x14ac:dyDescent="0.25">
      <c r="B122" s="247"/>
    </row>
    <row r="123" spans="1:18" ht="30.75" customHeight="1" x14ac:dyDescent="0.3">
      <c r="A123" s="25" t="s">
        <v>90</v>
      </c>
    </row>
    <row r="124" spans="1:18" ht="30.75" customHeight="1" x14ac:dyDescent="0.3">
      <c r="A124" s="37" t="s">
        <v>263</v>
      </c>
      <c r="B124" s="307" t="s">
        <v>264</v>
      </c>
      <c r="C124" s="307" t="s">
        <v>226</v>
      </c>
      <c r="D124" s="307" t="s">
        <v>265</v>
      </c>
      <c r="E124" s="307" t="s">
        <v>266</v>
      </c>
      <c r="F124" s="185"/>
      <c r="G124" s="25"/>
      <c r="H124" s="25"/>
      <c r="I124" s="25"/>
    </row>
    <row r="125" spans="1:18" customFormat="1" ht="15.6" x14ac:dyDescent="0.3">
      <c r="A125" s="187"/>
      <c r="B125" s="58"/>
      <c r="C125" s="195" t="s">
        <v>31</v>
      </c>
      <c r="D125" s="195" t="s">
        <v>293</v>
      </c>
      <c r="E125" s="195" t="s">
        <v>101</v>
      </c>
      <c r="H125" s="25"/>
      <c r="I125" s="25"/>
      <c r="J125" s="25"/>
      <c r="K125" s="25"/>
      <c r="L125" s="25"/>
      <c r="M125" s="27"/>
      <c r="N125" s="27"/>
      <c r="O125" s="27"/>
      <c r="P125" s="27"/>
      <c r="Q125" s="27"/>
      <c r="R125" s="27"/>
    </row>
    <row r="126" spans="1:18" customFormat="1" ht="15.6" x14ac:dyDescent="0.3">
      <c r="A126" s="229"/>
      <c r="B126" s="229"/>
      <c r="C126" s="226"/>
      <c r="D126" s="227"/>
      <c r="E126" s="44">
        <f t="shared" ref="E126:E132" si="5">ROUND(C126*D126,2)</f>
        <v>0</v>
      </c>
      <c r="H126" s="25"/>
      <c r="I126" s="25"/>
      <c r="J126" s="25"/>
      <c r="K126" s="25"/>
      <c r="L126" s="25"/>
      <c r="M126" s="27"/>
      <c r="N126" s="27"/>
      <c r="O126" s="27"/>
      <c r="P126" s="27"/>
      <c r="Q126" s="27"/>
      <c r="R126" s="27"/>
    </row>
    <row r="127" spans="1:18" customFormat="1" ht="15.6" x14ac:dyDescent="0.3">
      <c r="A127" s="774" t="s">
        <v>93</v>
      </c>
      <c r="B127" s="775"/>
      <c r="C127" s="44">
        <f>IF(B9&lt;50,IF(J33&gt;C33,C33,J33),0)</f>
        <v>0</v>
      </c>
      <c r="D127" s="51">
        <f>'TABLE DES TAUX 2025 '!E26</f>
        <v>1E-3</v>
      </c>
      <c r="E127" s="44">
        <f t="shared" si="5"/>
        <v>0</v>
      </c>
      <c r="G127" s="558"/>
      <c r="H127" s="25"/>
      <c r="I127" s="25"/>
      <c r="J127" s="25"/>
      <c r="K127" s="25"/>
      <c r="L127" s="25"/>
      <c r="M127" s="27"/>
      <c r="N127" s="27"/>
      <c r="O127" s="27"/>
      <c r="P127" s="27"/>
      <c r="Q127" s="27"/>
      <c r="R127" s="27"/>
    </row>
    <row r="128" spans="1:18" customFormat="1" ht="15.6" x14ac:dyDescent="0.3">
      <c r="A128" s="774" t="s">
        <v>94</v>
      </c>
      <c r="B128" s="775"/>
      <c r="C128" s="44">
        <f>C51</f>
        <v>0</v>
      </c>
      <c r="D128" s="51">
        <f>'TABLE DES TAUX 2025 '!E27</f>
        <v>5.0000000000000001E-3</v>
      </c>
      <c r="E128" s="44">
        <f t="shared" si="5"/>
        <v>0</v>
      </c>
      <c r="G128" s="559"/>
      <c r="H128" s="25"/>
      <c r="I128" s="25"/>
      <c r="J128" s="25"/>
      <c r="K128" s="25"/>
      <c r="L128" s="25"/>
      <c r="M128" s="27"/>
      <c r="N128" s="27"/>
      <c r="O128" s="27"/>
      <c r="P128" s="27"/>
      <c r="Q128" s="27"/>
      <c r="R128" s="27"/>
    </row>
    <row r="129" spans="1:18" customFormat="1" ht="15.6" x14ac:dyDescent="0.3">
      <c r="A129" s="774" t="s">
        <v>283</v>
      </c>
      <c r="B129" s="775"/>
      <c r="C129" s="44">
        <f>C128</f>
        <v>0</v>
      </c>
      <c r="D129" s="51">
        <f>'Masque de Saisie'!H22</f>
        <v>3.2000000000000001E-2</v>
      </c>
      <c r="E129" s="44">
        <f t="shared" si="5"/>
        <v>0</v>
      </c>
      <c r="G129" s="558"/>
      <c r="H129" s="25"/>
      <c r="I129" s="25"/>
      <c r="J129" s="25"/>
      <c r="K129" s="25"/>
      <c r="L129" s="25"/>
      <c r="M129" s="27"/>
      <c r="N129" s="27"/>
      <c r="O129" s="27"/>
      <c r="P129" s="27"/>
      <c r="Q129" s="27"/>
      <c r="R129" s="27"/>
    </row>
    <row r="130" spans="1:18" customFormat="1" ht="15.6" x14ac:dyDescent="0.3">
      <c r="A130" s="787" t="s">
        <v>72</v>
      </c>
      <c r="B130" s="788"/>
      <c r="C130" s="44">
        <f>C129</f>
        <v>0</v>
      </c>
      <c r="D130" s="51">
        <f>'TABLE DES TAUX 2025 '!E29</f>
        <v>3.0000000000000001E-3</v>
      </c>
      <c r="E130" s="44">
        <f t="shared" si="5"/>
        <v>0</v>
      </c>
      <c r="H130" s="25"/>
      <c r="I130" s="25"/>
      <c r="J130" s="25"/>
      <c r="K130" s="25"/>
      <c r="L130" s="25"/>
      <c r="M130" s="27"/>
      <c r="N130" s="27"/>
      <c r="O130" s="27"/>
      <c r="P130" s="27"/>
      <c r="Q130" s="27"/>
      <c r="R130" s="27"/>
    </row>
    <row r="131" spans="1:18" customFormat="1" ht="15.6" x14ac:dyDescent="0.3">
      <c r="A131" s="774" t="s">
        <v>91</v>
      </c>
      <c r="B131" s="775"/>
      <c r="C131" s="44">
        <f>IF(B9&gt;=11, IF(I9=2,G43+G44+G76,G40+G75),0)</f>
        <v>0</v>
      </c>
      <c r="D131" s="51">
        <f>'TABLE DES TAUX 2025 '!E30</f>
        <v>0.08</v>
      </c>
      <c r="E131" s="44">
        <f t="shared" si="5"/>
        <v>0</v>
      </c>
      <c r="H131" s="27"/>
      <c r="I131" s="27"/>
      <c r="J131" s="25"/>
      <c r="K131" s="25"/>
      <c r="L131" s="25"/>
      <c r="M131" s="27"/>
      <c r="N131" s="27"/>
      <c r="O131" s="27"/>
      <c r="P131" s="27"/>
      <c r="Q131" s="27"/>
      <c r="R131" s="27"/>
    </row>
    <row r="132" spans="1:18" customFormat="1" ht="17.25" customHeight="1" x14ac:dyDescent="0.3">
      <c r="A132" s="788" t="s">
        <v>227</v>
      </c>
      <c r="B132" s="792"/>
      <c r="C132" s="44">
        <f>G78</f>
        <v>0</v>
      </c>
      <c r="D132" s="51">
        <f>'TABLE DES TAUX 2025 '!E31</f>
        <v>0.2</v>
      </c>
      <c r="E132" s="44">
        <f t="shared" si="5"/>
        <v>0</v>
      </c>
      <c r="H132" s="27"/>
      <c r="I132" s="27"/>
      <c r="J132" s="27"/>
      <c r="K132" s="27"/>
      <c r="L132" s="27"/>
      <c r="M132" s="27"/>
      <c r="N132" s="27"/>
      <c r="O132" s="27"/>
      <c r="P132" s="27"/>
      <c r="Q132" s="27"/>
      <c r="R132" s="27"/>
    </row>
    <row r="133" spans="1:18" customFormat="1" ht="18" customHeight="1" x14ac:dyDescent="0.3">
      <c r="A133" s="787" t="s">
        <v>73</v>
      </c>
      <c r="B133" s="788"/>
      <c r="C133" s="44"/>
      <c r="D133" s="51">
        <f>'TABLE DES TAUX 2025 '!E32</f>
        <v>1.6000000000000001E-4</v>
      </c>
      <c r="E133" s="44">
        <f t="shared" ref="E133:E137" si="6">ROUND(C133*D133,2)</f>
        <v>0</v>
      </c>
      <c r="H133" s="27"/>
      <c r="I133" s="27"/>
      <c r="J133" s="27"/>
      <c r="K133" s="27"/>
      <c r="L133" s="27"/>
      <c r="M133" s="27"/>
      <c r="N133" s="27"/>
      <c r="O133" s="27"/>
      <c r="P133" s="27"/>
      <c r="Q133" s="27"/>
      <c r="R133" s="27"/>
    </row>
    <row r="134" spans="1:18" customFormat="1" ht="16.5" customHeight="1" x14ac:dyDescent="0.3">
      <c r="A134" s="787" t="s">
        <v>78</v>
      </c>
      <c r="B134" s="788"/>
      <c r="C134" s="44">
        <f>C130</f>
        <v>0</v>
      </c>
      <c r="D134" s="51">
        <f>'TABLE DES TAUX 2025 '!E33</f>
        <v>6.7999999999999996E-3</v>
      </c>
      <c r="E134" s="44">
        <f t="shared" si="6"/>
        <v>0</v>
      </c>
      <c r="H134" s="27"/>
      <c r="I134" s="27"/>
      <c r="J134" s="27"/>
      <c r="K134" s="27"/>
      <c r="L134" s="27"/>
      <c r="M134" s="27"/>
      <c r="N134" s="27"/>
      <c r="O134" s="27"/>
      <c r="P134" s="27"/>
      <c r="Q134" s="27"/>
      <c r="R134" s="27"/>
    </row>
    <row r="135" spans="1:18" customFormat="1" ht="15.6" x14ac:dyDescent="0.3">
      <c r="A135" s="787" t="s">
        <v>79</v>
      </c>
      <c r="B135" s="788"/>
      <c r="C135" s="44">
        <f>C134</f>
        <v>0</v>
      </c>
      <c r="D135" s="51">
        <f>'TABLE DES TAUX 2025 '!E34</f>
        <v>0.01</v>
      </c>
      <c r="E135" s="44">
        <f t="shared" si="6"/>
        <v>0</v>
      </c>
      <c r="H135" s="27"/>
      <c r="I135" s="27"/>
      <c r="J135" s="27"/>
      <c r="K135" s="27"/>
      <c r="L135" s="27"/>
      <c r="M135" s="27"/>
      <c r="N135" s="27"/>
      <c r="O135" s="27"/>
      <c r="P135" s="27"/>
      <c r="Q135" s="27"/>
      <c r="R135" s="27"/>
    </row>
    <row r="136" spans="1:18" customFormat="1" ht="15.6" x14ac:dyDescent="0.3">
      <c r="A136" s="787" t="s">
        <v>79</v>
      </c>
      <c r="B136" s="788"/>
      <c r="C136" s="44">
        <f>IF(B9&gt;=11,0,J33)</f>
        <v>0</v>
      </c>
      <c r="D136" s="51">
        <f>'TABLE DES TAUX 2025 '!E35</f>
        <v>5.4999999999999997E-3</v>
      </c>
      <c r="E136" s="44">
        <f t="shared" si="6"/>
        <v>0</v>
      </c>
      <c r="H136" s="27"/>
      <c r="I136" s="27"/>
      <c r="J136" s="27"/>
      <c r="K136" s="27"/>
      <c r="L136" s="27"/>
      <c r="M136" s="27"/>
      <c r="N136" s="27"/>
      <c r="O136" s="27"/>
      <c r="P136" s="27"/>
      <c r="Q136" s="27"/>
      <c r="R136" s="27"/>
    </row>
    <row r="137" spans="1:18" customFormat="1" ht="15.6" x14ac:dyDescent="0.3">
      <c r="A137" s="787" t="s">
        <v>84</v>
      </c>
      <c r="B137" s="788"/>
      <c r="C137" s="44">
        <f>C135</f>
        <v>0</v>
      </c>
      <c r="D137" s="51">
        <f>'TABLE DES TAUX 2025 '!E36</f>
        <v>4.4999999999999997E-3</v>
      </c>
      <c r="E137" s="44">
        <f t="shared" si="6"/>
        <v>0</v>
      </c>
      <c r="H137" s="27"/>
      <c r="I137" s="27"/>
      <c r="J137" s="27"/>
      <c r="K137" s="27"/>
      <c r="L137" s="27"/>
      <c r="M137" s="27"/>
      <c r="N137" s="27"/>
      <c r="O137" s="27"/>
      <c r="P137" s="27"/>
      <c r="Q137" s="27"/>
      <c r="R137" s="27"/>
    </row>
    <row r="138" spans="1:18" customFormat="1" ht="15.6" x14ac:dyDescent="0.3">
      <c r="A138" s="27"/>
      <c r="B138" s="27"/>
      <c r="D138" s="27"/>
      <c r="E138" s="44">
        <f>SUM(E127:E137)</f>
        <v>0</v>
      </c>
      <c r="G138" s="27"/>
      <c r="H138" s="27"/>
      <c r="I138" s="27"/>
      <c r="J138" s="27"/>
      <c r="K138" s="27"/>
      <c r="L138" s="27"/>
      <c r="M138" s="27"/>
      <c r="N138" s="27"/>
      <c r="O138" s="27"/>
      <c r="P138" s="27"/>
      <c r="Q138" s="27"/>
      <c r="R138" s="27"/>
    </row>
    <row r="139" spans="1:18" customFormat="1" ht="15.6" x14ac:dyDescent="0.3">
      <c r="A139" s="229"/>
      <c r="B139" s="229"/>
      <c r="C139" s="226"/>
      <c r="D139" s="227"/>
      <c r="E139" s="227"/>
      <c r="F139" s="226"/>
      <c r="G139" s="226"/>
      <c r="H139" s="24"/>
      <c r="I139" s="24"/>
      <c r="J139" s="27"/>
      <c r="K139" s="27"/>
      <c r="L139" s="27"/>
      <c r="M139" s="27"/>
      <c r="N139" s="27"/>
      <c r="O139" s="27"/>
      <c r="P139" s="27"/>
      <c r="Q139" s="27"/>
      <c r="R139" s="27"/>
    </row>
  </sheetData>
  <mergeCells count="131">
    <mergeCell ref="G5:J5"/>
    <mergeCell ref="A32:F32"/>
    <mergeCell ref="A132:B132"/>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M64:N64"/>
    <mergeCell ref="A59:B59"/>
    <mergeCell ref="A60:B60"/>
    <mergeCell ref="M60:N60"/>
    <mergeCell ref="A61:B61"/>
    <mergeCell ref="A62:B62"/>
    <mergeCell ref="A63:B63"/>
    <mergeCell ref="A55:B55"/>
    <mergeCell ref="A56:B56"/>
    <mergeCell ref="A57:B57"/>
    <mergeCell ref="I57:J57"/>
    <mergeCell ref="L49:L50"/>
    <mergeCell ref="A50:B50"/>
    <mergeCell ref="A86:I86"/>
    <mergeCell ref="J88:K88"/>
    <mergeCell ref="J86:K86"/>
    <mergeCell ref="J90:L90"/>
    <mergeCell ref="A87:I87"/>
    <mergeCell ref="M57:N57"/>
    <mergeCell ref="A51:B51"/>
    <mergeCell ref="A52:B52"/>
    <mergeCell ref="A53:B53"/>
    <mergeCell ref="M53:O53"/>
    <mergeCell ref="A54:B54"/>
    <mergeCell ref="M54:N54"/>
    <mergeCell ref="A65:B65"/>
    <mergeCell ref="A66:B66"/>
    <mergeCell ref="A67:B67"/>
    <mergeCell ref="A68:B68"/>
    <mergeCell ref="A73:B73"/>
    <mergeCell ref="A74:B74"/>
    <mergeCell ref="J84:L84"/>
    <mergeCell ref="A85:I85"/>
    <mergeCell ref="J85:L85"/>
    <mergeCell ref="A75:B75"/>
    <mergeCell ref="A80:B80"/>
    <mergeCell ref="A81:B81"/>
    <mergeCell ref="A82:B82"/>
    <mergeCell ref="A78:B78"/>
    <mergeCell ref="A83:B83"/>
    <mergeCell ref="D93:E93"/>
    <mergeCell ref="F93:G93"/>
    <mergeCell ref="J91:L91"/>
    <mergeCell ref="A92:I92"/>
    <mergeCell ref="J92:L92"/>
    <mergeCell ref="A88:C89"/>
    <mergeCell ref="D88:E88"/>
    <mergeCell ref="F88:G88"/>
    <mergeCell ref="D89:E89"/>
    <mergeCell ref="F89:G89"/>
    <mergeCell ref="A90:I90"/>
    <mergeCell ref="A91:I91"/>
    <mergeCell ref="F10:G10"/>
    <mergeCell ref="A137:B137"/>
    <mergeCell ref="A42:B42"/>
    <mergeCell ref="A46:B46"/>
    <mergeCell ref="A47:B47"/>
    <mergeCell ref="A130:B130"/>
    <mergeCell ref="A133:B133"/>
    <mergeCell ref="A134:B134"/>
    <mergeCell ref="A135:B135"/>
    <mergeCell ref="A136:B136"/>
    <mergeCell ref="A98:E98"/>
    <mergeCell ref="A131:B131"/>
    <mergeCell ref="A127:B127"/>
    <mergeCell ref="A128:B128"/>
    <mergeCell ref="A129:B129"/>
    <mergeCell ref="A84:I84"/>
    <mergeCell ref="A69:B69"/>
    <mergeCell ref="A70:B70"/>
    <mergeCell ref="A71:B71"/>
    <mergeCell ref="A72:B72"/>
    <mergeCell ref="A43:B43"/>
    <mergeCell ref="A45:B45"/>
    <mergeCell ref="A76:B76"/>
    <mergeCell ref="A79:B79"/>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7"/>
  <sheetViews>
    <sheetView topLeftCell="A74" zoomScale="115" zoomScaleNormal="115" workbookViewId="0">
      <selection activeCell="A74" sqref="A1:XFD1048576"/>
    </sheetView>
  </sheetViews>
  <sheetFormatPr baseColWidth="10" defaultRowHeight="14.4" x14ac:dyDescent="0.3"/>
  <cols>
    <col min="1" max="2" width="18.33203125" customWidth="1"/>
    <col min="3" max="4" width="13.44140625" customWidth="1"/>
    <col min="5" max="5" width="10.88671875" customWidth="1"/>
    <col min="6" max="6" width="12.6640625" customWidth="1"/>
    <col min="7" max="7" width="13.109375" customWidth="1"/>
    <col min="8" max="8" width="8.6640625" customWidth="1"/>
    <col min="9" max="9" width="15.33203125" customWidth="1"/>
    <col min="10" max="10" width="10" customWidth="1"/>
    <col min="11" max="11" width="0.21875" customWidth="1"/>
    <col min="12" max="12" width="0.109375" customWidth="1"/>
    <col min="13" max="13" width="7.5546875" customWidth="1"/>
    <col min="14" max="14" width="9.33203125" customWidth="1"/>
  </cols>
  <sheetData>
    <row r="1" spans="1:10" s="24" customFormat="1" ht="15.75" hidden="1" customHeight="1" x14ac:dyDescent="0.3">
      <c r="A1" s="707" t="s">
        <v>237</v>
      </c>
      <c r="B1" s="707"/>
      <c r="C1" s="707"/>
      <c r="D1" s="707"/>
      <c r="E1" s="707"/>
      <c r="F1" s="707"/>
      <c r="G1" s="707"/>
      <c r="H1" s="708"/>
      <c r="I1" s="708"/>
      <c r="J1" s="708"/>
    </row>
    <row r="2" spans="1:10" s="24" customFormat="1" ht="15.75" hidden="1" customHeight="1" x14ac:dyDescent="0.3">
      <c r="A2" s="709" t="s">
        <v>0</v>
      </c>
      <c r="B2" s="710"/>
      <c r="C2" s="710"/>
      <c r="D2" s="711"/>
      <c r="E2" s="312"/>
      <c r="F2" s="712" t="s">
        <v>1</v>
      </c>
      <c r="G2" s="713"/>
      <c r="H2" s="713"/>
      <c r="I2" s="713"/>
      <c r="J2" s="714"/>
    </row>
    <row r="3" spans="1:10" s="24" customFormat="1" ht="15.75" hidden="1" customHeight="1" x14ac:dyDescent="0.25">
      <c r="A3" s="313" t="s">
        <v>2</v>
      </c>
      <c r="B3" s="715" t="str">
        <f>'Masque de Saisie'!G4</f>
        <v xml:space="preserve">ATGR </v>
      </c>
      <c r="C3" s="716"/>
      <c r="D3" s="717"/>
      <c r="E3" s="314"/>
      <c r="F3" s="315" t="s">
        <v>2</v>
      </c>
      <c r="G3" s="702" t="str">
        <f>'Masque de Saisie'!E26</f>
        <v xml:space="preserve">MARTINO </v>
      </c>
      <c r="H3" s="702"/>
      <c r="I3" s="702"/>
      <c r="J3" s="702"/>
    </row>
    <row r="4" spans="1:10" s="24" customFormat="1" ht="15.75" hidden="1" customHeight="1" x14ac:dyDescent="0.25">
      <c r="A4" s="313" t="s">
        <v>3</v>
      </c>
      <c r="B4" s="715" t="str">
        <f>'Masque de Saisie'!G5</f>
        <v xml:space="preserve">3 Rue Paul Vaillant Couturier 92300 Levallois-Perret </v>
      </c>
      <c r="C4" s="716"/>
      <c r="D4" s="717"/>
      <c r="E4" s="314"/>
      <c r="F4" s="315" t="s">
        <v>4</v>
      </c>
      <c r="G4" s="702" t="str">
        <f>'Masque de Saisie'!E27</f>
        <v>Pamela</v>
      </c>
      <c r="H4" s="702"/>
      <c r="I4" s="702"/>
      <c r="J4" s="702"/>
    </row>
    <row r="5" spans="1:10" s="24" customFormat="1" ht="15.75" hidden="1" customHeight="1" x14ac:dyDescent="0.25">
      <c r="A5" s="313"/>
      <c r="B5" s="699"/>
      <c r="C5" s="700"/>
      <c r="D5" s="701"/>
      <c r="E5" s="314"/>
      <c r="F5" s="315" t="s">
        <v>5</v>
      </c>
      <c r="G5" s="702" t="str">
        <f>'Masque de Saisie'!E29</f>
        <v xml:space="preserve">Stagaire RH </v>
      </c>
      <c r="H5" s="702"/>
      <c r="I5" s="702"/>
      <c r="J5" s="702"/>
    </row>
    <row r="6" spans="1:10" s="24" customFormat="1" ht="15.75" hidden="1" customHeight="1" x14ac:dyDescent="0.25">
      <c r="A6" s="313" t="s">
        <v>6</v>
      </c>
      <c r="B6" s="703">
        <f>'Masque de Saisie'!G6</f>
        <v>34464426500029</v>
      </c>
      <c r="C6" s="704"/>
      <c r="D6" s="705"/>
      <c r="E6" s="316"/>
      <c r="F6" s="315" t="s">
        <v>7</v>
      </c>
      <c r="G6" s="702">
        <f>'Masque de Saisie'!E30</f>
        <v>0</v>
      </c>
      <c r="H6" s="702"/>
      <c r="I6" s="702"/>
      <c r="J6" s="702"/>
    </row>
    <row r="7" spans="1:10" s="24" customFormat="1" ht="15.75" hidden="1" customHeight="1" x14ac:dyDescent="0.25">
      <c r="A7" s="313" t="s">
        <v>8</v>
      </c>
      <c r="B7" s="699" t="str">
        <f>'Masque de Saisie'!G7</f>
        <v xml:space="preserve">7111C </v>
      </c>
      <c r="C7" s="700"/>
      <c r="D7" s="701"/>
      <c r="E7" s="314"/>
      <c r="F7" s="315" t="s">
        <v>9</v>
      </c>
      <c r="G7" s="706" t="str">
        <f>'Masque de Saisie'!E31</f>
        <v>2.96.02.297.820. 957</v>
      </c>
      <c r="H7" s="706"/>
      <c r="I7" s="706"/>
      <c r="J7" s="706"/>
    </row>
    <row r="8" spans="1:10" s="24" customFormat="1" ht="15.75" hidden="1" customHeight="1" x14ac:dyDescent="0.25">
      <c r="A8" s="313" t="s">
        <v>10</v>
      </c>
      <c r="B8" s="703"/>
      <c r="C8" s="704"/>
      <c r="D8" s="705"/>
      <c r="E8" s="316"/>
      <c r="F8" s="317" t="s">
        <v>3</v>
      </c>
      <c r="G8" s="702" t="str">
        <f>'Masque de Saisie'!E28</f>
        <v xml:space="preserve">2 Avenue du Val Fleuri 92700 Colombes </v>
      </c>
      <c r="H8" s="702"/>
      <c r="I8" s="702"/>
      <c r="J8" s="702"/>
    </row>
    <row r="9" spans="1:10" s="24" customFormat="1" ht="15.75" hidden="1" customHeight="1" x14ac:dyDescent="0.25">
      <c r="A9" s="313" t="s">
        <v>11</v>
      </c>
      <c r="B9" s="318">
        <f>'Masque de Saisie'!G9</f>
        <v>200</v>
      </c>
      <c r="C9" s="721" t="str">
        <f>'Masque de Saisie'!E51</f>
        <v xml:space="preserve">Stagaire </v>
      </c>
      <c r="D9" s="701"/>
      <c r="E9" s="314"/>
      <c r="F9" s="722" t="s">
        <v>12</v>
      </c>
      <c r="G9" s="723"/>
      <c r="H9" s="319"/>
      <c r="I9" s="320">
        <f>'Masque de Saisie'!E33</f>
        <v>1</v>
      </c>
      <c r="J9" s="320" t="str">
        <f>'Masque de Saisie'!E32</f>
        <v>NC</v>
      </c>
    </row>
    <row r="10" spans="1:10" s="24" customFormat="1" ht="15.75" hidden="1" customHeight="1" x14ac:dyDescent="0.25">
      <c r="A10" s="322" t="s">
        <v>13</v>
      </c>
      <c r="B10" s="323">
        <f>'Masque de Saisie'!E46</f>
        <v>161</v>
      </c>
      <c r="C10" s="320" t="s">
        <v>14</v>
      </c>
      <c r="D10" s="432">
        <f>'Masque de Saisie'!E43</f>
        <v>11.88</v>
      </c>
      <c r="E10" s="314"/>
      <c r="F10" s="699" t="s">
        <v>238</v>
      </c>
      <c r="G10" s="701"/>
      <c r="H10" s="373">
        <f>'Masque de Saisie'!E38</f>
        <v>45931</v>
      </c>
      <c r="I10" s="324" t="s">
        <v>15</v>
      </c>
      <c r="J10" s="373">
        <f>'Masque de Saisie'!E39</f>
        <v>45961</v>
      </c>
    </row>
    <row r="11" spans="1:10" s="24" customFormat="1" ht="33.75" hidden="1" customHeight="1" x14ac:dyDescent="0.25">
      <c r="A11" s="646"/>
      <c r="B11" s="724" t="s">
        <v>314</v>
      </c>
      <c r="C11" s="725"/>
      <c r="D11" s="726"/>
      <c r="E11" s="326"/>
      <c r="F11" s="646" t="s">
        <v>16</v>
      </c>
      <c r="G11" s="650">
        <f>'Masque de Saisie'!E39</f>
        <v>45961</v>
      </c>
      <c r="H11" s="62"/>
      <c r="I11" s="62"/>
      <c r="J11" s="651"/>
    </row>
    <row r="12" spans="1:10" s="24" customFormat="1" ht="15.75" hidden="1" customHeight="1" x14ac:dyDescent="0.25">
      <c r="A12" s="727"/>
      <c r="B12" s="727"/>
      <c r="C12" s="727"/>
      <c r="D12" s="727"/>
      <c r="E12" s="727"/>
      <c r="F12" s="727"/>
      <c r="G12" s="727"/>
      <c r="H12" s="727"/>
      <c r="I12" s="727"/>
      <c r="J12" s="727"/>
    </row>
    <row r="13" spans="1:10" s="24" customFormat="1" ht="19.2" hidden="1" customHeight="1" x14ac:dyDescent="0.25">
      <c r="A13" s="718" t="s">
        <v>928</v>
      </c>
      <c r="B13" s="719"/>
      <c r="C13" s="719"/>
      <c r="D13" s="719"/>
      <c r="E13" s="719"/>
      <c r="F13" s="720"/>
      <c r="G13" s="328">
        <f>+'Masque de Saisie'!E46</f>
        <v>161</v>
      </c>
      <c r="H13" s="325" t="s">
        <v>17</v>
      </c>
      <c r="I13" s="329">
        <f>J13/G13</f>
        <v>4.3500000000000005</v>
      </c>
      <c r="J13" s="330">
        <f>'Masque de Saisie'!E41</f>
        <v>700.35</v>
      </c>
    </row>
    <row r="14" spans="1:10" s="24" customFormat="1" ht="19.5" hidden="1" customHeight="1" x14ac:dyDescent="0.25">
      <c r="A14" s="718" t="s">
        <v>239</v>
      </c>
      <c r="B14" s="719"/>
      <c r="C14" s="719"/>
      <c r="D14" s="719"/>
      <c r="E14" s="719"/>
      <c r="F14" s="720"/>
      <c r="G14" s="325"/>
      <c r="H14" s="325"/>
      <c r="I14" s="329"/>
      <c r="J14" s="330"/>
    </row>
    <row r="15" spans="1:10" s="24" customFormat="1" ht="19.5" hidden="1" customHeight="1" x14ac:dyDescent="0.25">
      <c r="A15" s="718" t="s">
        <v>415</v>
      </c>
      <c r="B15" s="719"/>
      <c r="C15" s="719"/>
      <c r="D15" s="719"/>
      <c r="E15" s="719"/>
      <c r="F15" s="720"/>
      <c r="G15" s="331"/>
      <c r="H15" s="332"/>
      <c r="I15" s="329"/>
      <c r="J15" s="330"/>
    </row>
    <row r="16" spans="1:10" s="24" customFormat="1" ht="19.5" hidden="1" customHeight="1" x14ac:dyDescent="0.25">
      <c r="A16" s="718" t="s">
        <v>416</v>
      </c>
      <c r="B16" s="719"/>
      <c r="C16" s="719"/>
      <c r="D16" s="719"/>
      <c r="E16" s="719"/>
      <c r="F16" s="720"/>
      <c r="G16" s="331"/>
      <c r="H16" s="332"/>
      <c r="I16" s="329"/>
      <c r="J16" s="330"/>
    </row>
    <row r="17" spans="1:10" s="24" customFormat="1" ht="19.5" hidden="1" customHeight="1" x14ac:dyDescent="0.25">
      <c r="A17" s="718" t="s">
        <v>18</v>
      </c>
      <c r="B17" s="719"/>
      <c r="C17" s="719"/>
      <c r="D17" s="719"/>
      <c r="E17" s="719"/>
      <c r="F17" s="720"/>
      <c r="G17" s="331"/>
      <c r="H17" s="332" t="s">
        <v>17</v>
      </c>
      <c r="I17" s="329"/>
      <c r="J17" s="330"/>
    </row>
    <row r="18" spans="1:10" s="24" customFormat="1" ht="19.5" hidden="1" customHeight="1" x14ac:dyDescent="0.25">
      <c r="A18" s="718" t="s">
        <v>240</v>
      </c>
      <c r="B18" s="719"/>
      <c r="C18" s="719"/>
      <c r="D18" s="719"/>
      <c r="E18" s="719"/>
      <c r="F18" s="720"/>
      <c r="G18" s="331"/>
      <c r="H18" s="332" t="s">
        <v>17</v>
      </c>
      <c r="I18" s="329"/>
      <c r="J18" s="330">
        <f t="shared" ref="J18:J21" si="0">ROUND(G18*I18,2)</f>
        <v>0</v>
      </c>
    </row>
    <row r="19" spans="1:10" s="24" customFormat="1" ht="19.5" hidden="1" customHeight="1" x14ac:dyDescent="0.25">
      <c r="A19" s="718" t="s">
        <v>241</v>
      </c>
      <c r="B19" s="719"/>
      <c r="C19" s="719"/>
      <c r="D19" s="719"/>
      <c r="E19" s="719"/>
      <c r="F19" s="720"/>
      <c r="G19" s="331"/>
      <c r="H19" s="332" t="s">
        <v>17</v>
      </c>
      <c r="I19" s="329"/>
      <c r="J19" s="330">
        <f t="shared" si="0"/>
        <v>0</v>
      </c>
    </row>
    <row r="20" spans="1:10" s="24" customFormat="1" ht="19.5" hidden="1" customHeight="1" x14ac:dyDescent="0.25">
      <c r="A20" s="718" t="s">
        <v>242</v>
      </c>
      <c r="B20" s="719"/>
      <c r="C20" s="719"/>
      <c r="D20" s="719"/>
      <c r="E20" s="719"/>
      <c r="F20" s="720"/>
      <c r="G20" s="331"/>
      <c r="H20" s="332" t="s">
        <v>17</v>
      </c>
      <c r="I20" s="329"/>
      <c r="J20" s="330">
        <f t="shared" si="0"/>
        <v>0</v>
      </c>
    </row>
    <row r="21" spans="1:10" s="24" customFormat="1" ht="19.5" hidden="1" customHeight="1" x14ac:dyDescent="0.25">
      <c r="A21" s="718" t="s">
        <v>243</v>
      </c>
      <c r="B21" s="719"/>
      <c r="C21" s="719"/>
      <c r="D21" s="719"/>
      <c r="E21" s="719"/>
      <c r="F21" s="720"/>
      <c r="G21" s="460">
        <f>'Masque de Saisie'!E45</f>
        <v>0</v>
      </c>
      <c r="H21" s="332" t="s">
        <v>17</v>
      </c>
      <c r="I21" s="329">
        <f>ROUND(((J13+J16)*1.25/G13),6)</f>
        <v>5.4375</v>
      </c>
      <c r="J21" s="330">
        <f t="shared" si="0"/>
        <v>0</v>
      </c>
    </row>
    <row r="22" spans="1:10" s="24" customFormat="1" ht="19.5" hidden="1" customHeight="1" x14ac:dyDescent="0.25">
      <c r="A22" s="718" t="s">
        <v>244</v>
      </c>
      <c r="B22" s="719"/>
      <c r="C22" s="719"/>
      <c r="D22" s="719"/>
      <c r="E22" s="719"/>
      <c r="F22" s="720"/>
      <c r="G22" s="331"/>
      <c r="H22" s="332" t="s">
        <v>19</v>
      </c>
      <c r="I22" s="325"/>
      <c r="J22" s="330"/>
    </row>
    <row r="23" spans="1:10" s="24" customFormat="1" ht="21.6" hidden="1" customHeight="1" x14ac:dyDescent="0.25">
      <c r="A23" s="718" t="s">
        <v>513</v>
      </c>
      <c r="B23" s="719"/>
      <c r="C23" s="719"/>
      <c r="D23" s="719"/>
      <c r="E23" s="719"/>
      <c r="F23" s="720"/>
      <c r="G23" s="327"/>
      <c r="H23" s="333"/>
      <c r="I23" s="321"/>
      <c r="J23" s="334"/>
    </row>
    <row r="24" spans="1:10" s="24" customFormat="1" ht="21.6" hidden="1" customHeight="1" x14ac:dyDescent="0.25">
      <c r="A24" s="718" t="s">
        <v>20</v>
      </c>
      <c r="B24" s="719"/>
      <c r="C24" s="719"/>
      <c r="D24" s="719"/>
      <c r="E24" s="719"/>
      <c r="F24" s="720"/>
      <c r="G24" s="327"/>
      <c r="H24" s="333"/>
      <c r="I24" s="321"/>
      <c r="J24" s="334"/>
    </row>
    <row r="25" spans="1:10" s="24" customFormat="1" ht="21.6" hidden="1" customHeight="1" x14ac:dyDescent="0.25">
      <c r="A25" s="718" t="s">
        <v>21</v>
      </c>
      <c r="B25" s="719"/>
      <c r="C25" s="719"/>
      <c r="D25" s="719"/>
      <c r="E25" s="719"/>
      <c r="F25" s="720"/>
      <c r="G25" s="327"/>
      <c r="H25" s="333"/>
      <c r="I25" s="321"/>
      <c r="J25" s="334"/>
    </row>
    <row r="26" spans="1:10" s="24" customFormat="1" ht="21.6" hidden="1" customHeight="1" x14ac:dyDescent="0.25">
      <c r="A26" s="728" t="s">
        <v>22</v>
      </c>
      <c r="B26" s="729"/>
      <c r="C26" s="729"/>
      <c r="D26" s="729"/>
      <c r="E26" s="729"/>
      <c r="F26" s="730"/>
      <c r="G26" s="327"/>
      <c r="H26" s="333"/>
      <c r="I26" s="321"/>
      <c r="J26" s="334"/>
    </row>
    <row r="27" spans="1:10" s="24" customFormat="1" ht="21.6" hidden="1" customHeight="1" x14ac:dyDescent="0.25">
      <c r="A27" s="728" t="s">
        <v>23</v>
      </c>
      <c r="B27" s="729"/>
      <c r="C27" s="729"/>
      <c r="D27" s="729"/>
      <c r="E27" s="729"/>
      <c r="F27" s="730"/>
      <c r="G27" s="327"/>
      <c r="H27" s="333"/>
      <c r="I27" s="321"/>
      <c r="J27" s="334"/>
    </row>
    <row r="28" spans="1:10" s="24" customFormat="1" ht="21.6" hidden="1" customHeight="1" x14ac:dyDescent="0.25">
      <c r="A28" s="728" t="s">
        <v>24</v>
      </c>
      <c r="B28" s="729"/>
      <c r="C28" s="729"/>
      <c r="D28" s="729"/>
      <c r="E28" s="729"/>
      <c r="F28" s="730"/>
      <c r="G28" s="327"/>
      <c r="H28" s="333"/>
      <c r="I28" s="321"/>
      <c r="J28" s="334"/>
    </row>
    <row r="29" spans="1:10" s="24" customFormat="1" ht="21.6" hidden="1" customHeight="1" x14ac:dyDescent="0.25">
      <c r="A29" s="728" t="s">
        <v>25</v>
      </c>
      <c r="B29" s="729"/>
      <c r="C29" s="729"/>
      <c r="D29" s="729"/>
      <c r="E29" s="729"/>
      <c r="F29" s="730"/>
      <c r="G29" s="327"/>
      <c r="H29" s="333"/>
      <c r="I29" s="321"/>
      <c r="J29" s="334"/>
    </row>
    <row r="30" spans="1:10" s="24" customFormat="1" ht="21.6" hidden="1" customHeight="1" x14ac:dyDescent="0.25">
      <c r="A30" s="728" t="s">
        <v>26</v>
      </c>
      <c r="B30" s="729"/>
      <c r="C30" s="729"/>
      <c r="D30" s="729"/>
      <c r="E30" s="729"/>
      <c r="F30" s="730"/>
      <c r="G30" s="327"/>
      <c r="H30" s="333"/>
      <c r="I30" s="321"/>
      <c r="J30" s="334"/>
    </row>
    <row r="31" spans="1:10" s="24" customFormat="1" ht="21.6" hidden="1" customHeight="1" x14ac:dyDescent="0.25">
      <c r="A31" s="728" t="s">
        <v>27</v>
      </c>
      <c r="B31" s="729"/>
      <c r="C31" s="729"/>
      <c r="D31" s="729"/>
      <c r="E31" s="729"/>
      <c r="F31" s="730"/>
      <c r="G31" s="327"/>
      <c r="H31" s="333"/>
      <c r="I31" s="321"/>
      <c r="J31" s="334"/>
    </row>
    <row r="32" spans="1:10" s="24" customFormat="1" ht="21.6" hidden="1" customHeight="1" x14ac:dyDescent="0.25">
      <c r="A32" s="728"/>
      <c r="B32" s="729"/>
      <c r="C32" s="729"/>
      <c r="D32" s="729"/>
      <c r="E32" s="729"/>
      <c r="F32" s="730"/>
      <c r="G32" s="327"/>
      <c r="H32" s="333"/>
      <c r="I32" s="321"/>
      <c r="J32" s="334"/>
    </row>
    <row r="33" spans="1:16" s="24" customFormat="1" ht="21.6" hidden="1" customHeight="1" x14ac:dyDescent="0.3">
      <c r="A33" s="735" t="s">
        <v>28</v>
      </c>
      <c r="B33" s="736"/>
      <c r="C33" s="335" t="str">
        <f>'Masque de Saisie'!E44</f>
        <v xml:space="preserve">Non applicable </v>
      </c>
      <c r="D33" s="737" t="s">
        <v>29</v>
      </c>
      <c r="E33" s="737"/>
      <c r="F33" s="737"/>
      <c r="G33" s="737"/>
      <c r="H33" s="737"/>
      <c r="I33" s="737"/>
      <c r="J33" s="433">
        <f>SUM(J13:J32)</f>
        <v>700.35</v>
      </c>
    </row>
    <row r="34" spans="1:16" s="20" customFormat="1" ht="24" hidden="1" customHeight="1" x14ac:dyDescent="0.25">
      <c r="A34" s="738" t="s">
        <v>30</v>
      </c>
      <c r="B34" s="738"/>
      <c r="C34" s="56" t="s">
        <v>31</v>
      </c>
      <c r="D34" s="380" t="s">
        <v>32</v>
      </c>
      <c r="E34" s="380" t="s">
        <v>33</v>
      </c>
      <c r="F34" s="381" t="s">
        <v>34</v>
      </c>
      <c r="G34" s="381" t="s">
        <v>35</v>
      </c>
      <c r="I34" s="21"/>
      <c r="J34" s="21"/>
      <c r="K34" s="22"/>
    </row>
    <row r="35" spans="1:16" ht="12" hidden="1" customHeight="1" x14ac:dyDescent="0.3">
      <c r="A35" s="739" t="s">
        <v>36</v>
      </c>
      <c r="B35" s="739"/>
      <c r="C35" s="1"/>
      <c r="D35" s="3"/>
      <c r="E35" s="3"/>
      <c r="F35" s="1"/>
      <c r="G35" s="1"/>
    </row>
    <row r="36" spans="1:16" ht="17.399999999999999" hidden="1" customHeight="1" x14ac:dyDescent="0.3">
      <c r="A36" s="731" t="s">
        <v>85</v>
      </c>
      <c r="B36" s="731"/>
      <c r="C36" s="13">
        <f>'ENONCE ET CORRECTION '!I53</f>
        <v>0</v>
      </c>
      <c r="D36" s="33"/>
      <c r="E36" s="34">
        <f t="shared" ref="E36:E37" si="1" xml:space="preserve"> VLOOKUP(A36,TAUX2023,4,FALSE)</f>
        <v>7.0000000000000007E-2</v>
      </c>
      <c r="F36" s="40">
        <f>ROUND(C36*D36,2)</f>
        <v>0</v>
      </c>
      <c r="G36" s="40">
        <f>ROUND(C36*E36,2)</f>
        <v>0</v>
      </c>
      <c r="H36" s="557"/>
      <c r="I36" s="557"/>
      <c r="J36" s="2"/>
      <c r="O36" s="732"/>
      <c r="P36" s="732"/>
    </row>
    <row r="37" spans="1:16" ht="17.399999999999999" hidden="1" customHeight="1" x14ac:dyDescent="0.3">
      <c r="A37" s="731" t="s">
        <v>205</v>
      </c>
      <c r="B37" s="731"/>
      <c r="C37" s="39">
        <f>C36</f>
        <v>0</v>
      </c>
      <c r="D37" s="169"/>
      <c r="E37" s="34">
        <f t="shared" si="1"/>
        <v>0.06</v>
      </c>
      <c r="F37" s="40">
        <f t="shared" ref="F37:F67" si="2">ROUND(C37*D37,2)</f>
        <v>0</v>
      </c>
      <c r="G37" s="13">
        <f t="shared" ref="G37:G70" si="3">ROUND(C37*E37,2)</f>
        <v>0</v>
      </c>
      <c r="H37" s="557"/>
      <c r="I37" s="557"/>
      <c r="O37" s="732"/>
      <c r="P37" s="732"/>
    </row>
    <row r="38" spans="1:16" ht="24.6" hidden="1" customHeight="1" x14ac:dyDescent="0.3">
      <c r="A38" s="733" t="s">
        <v>201</v>
      </c>
      <c r="B38" s="734"/>
      <c r="C38" s="13">
        <f>IF(I9=2,J33,0)</f>
        <v>0</v>
      </c>
      <c r="D38" s="33">
        <f>'Masque de Saisie'!G15</f>
        <v>0</v>
      </c>
      <c r="E38" s="33">
        <f>'Masque de Saisie'!H15</f>
        <v>0</v>
      </c>
      <c r="F38" s="40">
        <f t="shared" si="2"/>
        <v>0</v>
      </c>
      <c r="G38" s="13">
        <f t="shared" si="3"/>
        <v>0</v>
      </c>
      <c r="H38" s="24"/>
      <c r="I38" s="2"/>
      <c r="O38" s="732"/>
      <c r="P38" s="732"/>
    </row>
    <row r="39" spans="1:16" ht="24.6" hidden="1" customHeight="1" x14ac:dyDescent="0.3">
      <c r="A39" s="733" t="s">
        <v>255</v>
      </c>
      <c r="B39" s="734"/>
      <c r="C39" s="40">
        <f>IF(I9=2,0,J33)</f>
        <v>700.35</v>
      </c>
      <c r="D39" s="33">
        <f>'Masque de Saisie'!G12</f>
        <v>0</v>
      </c>
      <c r="E39" s="33">
        <f>'Masque de Saisie'!H12</f>
        <v>0</v>
      </c>
      <c r="F39" s="40">
        <f t="shared" si="2"/>
        <v>0</v>
      </c>
      <c r="G39" s="13">
        <f t="shared" si="3"/>
        <v>0</v>
      </c>
      <c r="H39" s="24"/>
      <c r="I39" s="2"/>
      <c r="O39" s="732"/>
      <c r="P39" s="732"/>
    </row>
    <row r="40" spans="1:16" ht="24.6" hidden="1" customHeight="1" x14ac:dyDescent="0.3">
      <c r="A40" s="733" t="s">
        <v>259</v>
      </c>
      <c r="B40" s="734"/>
      <c r="C40" s="40">
        <f>C39</f>
        <v>700.35</v>
      </c>
      <c r="D40" s="33">
        <f>'Masque de Saisie'!G13</f>
        <v>0</v>
      </c>
      <c r="E40" s="33">
        <f>'Masque de Saisie'!H13</f>
        <v>0</v>
      </c>
      <c r="F40" s="40">
        <f t="shared" si="2"/>
        <v>0</v>
      </c>
      <c r="G40" s="13">
        <f t="shared" si="3"/>
        <v>0</v>
      </c>
      <c r="H40" s="24"/>
      <c r="I40" s="2"/>
      <c r="O40" s="732"/>
      <c r="P40" s="732"/>
    </row>
    <row r="41" spans="1:16" ht="24.6" hidden="1" customHeight="1" x14ac:dyDescent="0.3">
      <c r="A41" s="733" t="s">
        <v>260</v>
      </c>
      <c r="B41" s="734"/>
      <c r="C41" s="13">
        <f>C38</f>
        <v>0</v>
      </c>
      <c r="D41" s="33">
        <f>'Masque de Saisie'!G16</f>
        <v>0</v>
      </c>
      <c r="E41" s="33">
        <f>+'Masque de Saisie'!H16</f>
        <v>0</v>
      </c>
      <c r="F41" s="40">
        <f t="shared" si="2"/>
        <v>0</v>
      </c>
      <c r="G41" s="13">
        <f t="shared" si="3"/>
        <v>0</v>
      </c>
      <c r="H41" s="553"/>
      <c r="I41" s="24"/>
      <c r="J41" s="42"/>
      <c r="O41" s="732"/>
      <c r="P41" s="732"/>
    </row>
    <row r="42" spans="1:16" ht="24.6" hidden="1" customHeight="1" x14ac:dyDescent="0.3">
      <c r="A42" s="731" t="s">
        <v>206</v>
      </c>
      <c r="B42" s="731"/>
      <c r="C42" s="40">
        <f>IF(I9=2,IF(E41=0,IF(J33&gt;C33,C33,J33),0),0)</f>
        <v>0</v>
      </c>
      <c r="D42" s="33"/>
      <c r="E42" s="34">
        <f>'Masque de Saisie'!H18</f>
        <v>0</v>
      </c>
      <c r="F42" s="40">
        <f>ROUND(C42*D42,2)</f>
        <v>0</v>
      </c>
      <c r="G42" s="13">
        <f>ROUND(C42*E42,2)</f>
        <v>0</v>
      </c>
      <c r="H42" s="553"/>
      <c r="I42" s="24"/>
      <c r="J42" s="42"/>
      <c r="O42" s="184"/>
      <c r="P42" s="184"/>
    </row>
    <row r="43" spans="1:16" ht="24.6" hidden="1" customHeight="1" x14ac:dyDescent="0.3">
      <c r="A43" s="741" t="s">
        <v>409</v>
      </c>
      <c r="B43" s="741"/>
      <c r="C43" s="221">
        <f>J33</f>
        <v>700.35</v>
      </c>
      <c r="D43" s="33">
        <f>'Masque de Saisie'!G17</f>
        <v>0</v>
      </c>
      <c r="E43" s="34">
        <f>+'Masque de Saisie'!H17</f>
        <v>0</v>
      </c>
      <c r="F43" s="40">
        <f>ROUND(C43*D43,2)</f>
        <v>0</v>
      </c>
      <c r="G43" s="13">
        <f>ROUND(C43*E43,2)</f>
        <v>0</v>
      </c>
      <c r="H43" s="553"/>
      <c r="I43" s="24"/>
      <c r="J43" s="42"/>
      <c r="O43" s="184"/>
      <c r="P43" s="184"/>
    </row>
    <row r="44" spans="1:16" ht="24.6" hidden="1" customHeight="1" x14ac:dyDescent="0.3">
      <c r="A44" s="742"/>
      <c r="B44" s="743"/>
      <c r="C44" s="4"/>
      <c r="D44" s="4"/>
      <c r="E44" s="4"/>
      <c r="F44" s="4"/>
      <c r="G44" s="4"/>
      <c r="H44" s="553"/>
      <c r="I44" s="24"/>
      <c r="J44" s="24"/>
      <c r="O44" s="732"/>
      <c r="P44" s="732"/>
    </row>
    <row r="45" spans="1:16" ht="24.6" hidden="1" customHeight="1" x14ac:dyDescent="0.3">
      <c r="A45" s="740"/>
      <c r="B45" s="740"/>
      <c r="C45" s="13"/>
      <c r="D45" s="33"/>
      <c r="E45" s="34"/>
      <c r="F45" s="40"/>
      <c r="G45" s="13"/>
      <c r="H45" s="553"/>
      <c r="I45" s="24"/>
      <c r="J45" s="24"/>
      <c r="O45" s="732"/>
      <c r="P45" s="732"/>
    </row>
    <row r="46" spans="1:16" ht="24.6" hidden="1" customHeight="1" x14ac:dyDescent="0.3">
      <c r="A46" s="740"/>
      <c r="B46" s="740"/>
      <c r="C46" s="13"/>
      <c r="D46" s="33"/>
      <c r="E46" s="34"/>
      <c r="F46" s="40"/>
      <c r="G46" s="13"/>
      <c r="H46" s="553"/>
      <c r="I46" s="24"/>
      <c r="J46" s="24"/>
      <c r="O46" s="732"/>
      <c r="P46" s="732"/>
    </row>
    <row r="47" spans="1:16" ht="22.8" hidden="1" customHeight="1" x14ac:dyDescent="0.3">
      <c r="A47" s="746" t="s">
        <v>37</v>
      </c>
      <c r="B47" s="746"/>
      <c r="C47" s="15">
        <f>C37</f>
        <v>0</v>
      </c>
      <c r="D47" s="33"/>
      <c r="E47" s="34">
        <f>'Masque de Saisie'!H21</f>
        <v>1.7000000000000001E-2</v>
      </c>
      <c r="F47" s="40">
        <f t="shared" si="2"/>
        <v>0</v>
      </c>
      <c r="G47" s="13">
        <f t="shared" si="3"/>
        <v>0</v>
      </c>
      <c r="H47" s="553"/>
      <c r="L47" s="747"/>
    </row>
    <row r="48" spans="1:16" ht="16.5" hidden="1" customHeight="1" x14ac:dyDescent="0.3">
      <c r="A48" s="746" t="s">
        <v>38</v>
      </c>
      <c r="B48" s="746"/>
      <c r="C48" s="16"/>
      <c r="D48" s="33"/>
      <c r="E48" s="34"/>
      <c r="F48" s="40"/>
      <c r="G48" s="13"/>
      <c r="H48" s="553"/>
      <c r="L48" s="747"/>
    </row>
    <row r="49" spans="1:17" ht="18" hidden="1" customHeight="1" x14ac:dyDescent="0.3">
      <c r="A49" s="741" t="s">
        <v>39</v>
      </c>
      <c r="B49" s="741"/>
      <c r="C49" s="40">
        <f>C47</f>
        <v>0</v>
      </c>
      <c r="D49" s="33">
        <f>VLOOKUP(A49,TAUX2023,3,FALSE)</f>
        <v>6.9000000000000006E-2</v>
      </c>
      <c r="E49" s="34">
        <f xml:space="preserve"> VLOOKUP(A49,TAUX2023,4,FALSE)</f>
        <v>8.5500000000000007E-2</v>
      </c>
      <c r="F49" s="40">
        <f t="shared" si="2"/>
        <v>0</v>
      </c>
      <c r="G49" s="13">
        <f t="shared" si="3"/>
        <v>0</v>
      </c>
      <c r="H49" s="553"/>
      <c r="I49" s="554"/>
      <c r="J49" s="554"/>
    </row>
    <row r="50" spans="1:17" ht="18" hidden="1" customHeight="1" x14ac:dyDescent="0.3">
      <c r="A50" s="741" t="s">
        <v>40</v>
      </c>
      <c r="B50" s="741"/>
      <c r="C50" s="13">
        <f>C37</f>
        <v>0</v>
      </c>
      <c r="D50" s="33">
        <f>VLOOKUP(A50,TAUX2023,3,FALSE)</f>
        <v>4.0000000000000001E-3</v>
      </c>
      <c r="E50" s="34">
        <f xml:space="preserve"> VLOOKUP(A50,TAUX2023,4,FALSE)</f>
        <v>2.0199999999999999E-2</v>
      </c>
      <c r="F50" s="40">
        <f t="shared" si="2"/>
        <v>0</v>
      </c>
      <c r="G50" s="13">
        <f t="shared" si="3"/>
        <v>0</v>
      </c>
      <c r="H50" s="557"/>
      <c r="I50" s="557"/>
      <c r="J50" s="554"/>
    </row>
    <row r="51" spans="1:17" ht="18.600000000000001" hidden="1" customHeight="1" x14ac:dyDescent="0.3">
      <c r="A51" s="741" t="s">
        <v>41</v>
      </c>
      <c r="B51" s="741"/>
      <c r="C51" s="13"/>
      <c r="D51" s="169">
        <f>'BP FORMAT JUILLET 2023'!D53</f>
        <v>4.0099999999999997E-2</v>
      </c>
      <c r="E51" s="170">
        <f>'BP FORMAT JUILLET 2023'!E53</f>
        <v>6.0100000000000001E-2</v>
      </c>
      <c r="F51" s="40">
        <f t="shared" si="2"/>
        <v>0</v>
      </c>
      <c r="G51" s="13">
        <f t="shared" si="3"/>
        <v>0</v>
      </c>
      <c r="H51" s="557"/>
      <c r="I51" s="557"/>
      <c r="J51" s="554"/>
      <c r="K51" s="6"/>
      <c r="M51" s="744"/>
      <c r="N51" s="744"/>
      <c r="O51" s="744"/>
    </row>
    <row r="52" spans="1:17" ht="18.600000000000001" hidden="1" customHeight="1" x14ac:dyDescent="0.3">
      <c r="A52" s="741" t="s">
        <v>42</v>
      </c>
      <c r="B52" s="741"/>
      <c r="C52" s="13"/>
      <c r="D52" s="169">
        <f>'BP FORMAT JUILLET 2023'!D54</f>
        <v>0</v>
      </c>
      <c r="E52" s="170">
        <f>'BP FORMAT JUILLET 2023'!E54</f>
        <v>0</v>
      </c>
      <c r="F52" s="40">
        <f t="shared" si="2"/>
        <v>0</v>
      </c>
      <c r="G52" s="13">
        <f t="shared" si="3"/>
        <v>0</v>
      </c>
      <c r="H52" s="557"/>
      <c r="I52" s="557"/>
      <c r="J52" s="554"/>
      <c r="K52" s="6"/>
      <c r="M52" s="745"/>
      <c r="N52" s="745"/>
      <c r="O52" s="9"/>
      <c r="P52" s="11"/>
      <c r="Q52" s="9"/>
    </row>
    <row r="53" spans="1:17" ht="18.600000000000001" hidden="1" customHeight="1" x14ac:dyDescent="0.3">
      <c r="A53" s="740"/>
      <c r="B53" s="740"/>
      <c r="C53" s="13"/>
      <c r="D53" s="169"/>
      <c r="E53" s="170"/>
      <c r="F53" s="40"/>
      <c r="G53" s="13"/>
      <c r="H53" s="557"/>
      <c r="I53" s="557"/>
      <c r="J53" s="554"/>
      <c r="K53" s="6"/>
      <c r="M53" s="55"/>
      <c r="N53" s="55"/>
      <c r="O53" s="9"/>
      <c r="P53" s="11"/>
      <c r="Q53" s="9"/>
    </row>
    <row r="54" spans="1:17" ht="18.600000000000001" hidden="1" customHeight="1" x14ac:dyDescent="0.3">
      <c r="A54" s="740"/>
      <c r="B54" s="740"/>
      <c r="C54" s="13"/>
      <c r="D54" s="169"/>
      <c r="E54" s="170"/>
      <c r="F54" s="40"/>
      <c r="G54" s="13"/>
      <c r="H54" s="557"/>
      <c r="I54" s="557"/>
      <c r="J54" s="554"/>
      <c r="K54" s="6"/>
      <c r="M54" s="55"/>
      <c r="N54" s="55"/>
      <c r="O54" s="9"/>
      <c r="P54" s="11"/>
      <c r="Q54" s="9"/>
    </row>
    <row r="55" spans="1:17" ht="18.600000000000001" hidden="1" customHeight="1" x14ac:dyDescent="0.3">
      <c r="A55" s="740"/>
      <c r="B55" s="740"/>
      <c r="C55" s="173"/>
      <c r="D55" s="169"/>
      <c r="E55" s="170"/>
      <c r="F55" s="40"/>
      <c r="G55" s="13"/>
      <c r="H55" s="557"/>
      <c r="I55" s="557"/>
      <c r="J55" s="554"/>
      <c r="K55" s="6"/>
      <c r="M55" s="55"/>
      <c r="N55" s="55"/>
      <c r="O55" s="9"/>
      <c r="P55" s="11"/>
      <c r="Q55" s="9"/>
    </row>
    <row r="56" spans="1:17" ht="18.600000000000001" hidden="1" customHeight="1" x14ac:dyDescent="0.3">
      <c r="A56" s="740"/>
      <c r="B56" s="740"/>
      <c r="C56" s="13"/>
      <c r="D56" s="169"/>
      <c r="E56" s="170"/>
      <c r="F56" s="40"/>
      <c r="G56" s="13"/>
      <c r="H56" s="557"/>
      <c r="I56" s="557"/>
      <c r="J56" s="554"/>
      <c r="K56" s="6"/>
      <c r="M56" s="55"/>
      <c r="N56" s="55"/>
      <c r="O56" s="9"/>
      <c r="P56" s="11"/>
      <c r="Q56" s="9"/>
    </row>
    <row r="57" spans="1:17" ht="18.600000000000001" hidden="1" customHeight="1" x14ac:dyDescent="0.3">
      <c r="A57" s="752" t="s">
        <v>43</v>
      </c>
      <c r="B57" s="752"/>
      <c r="D57" s="33"/>
      <c r="E57" s="34"/>
      <c r="F57" s="40"/>
      <c r="G57" s="13"/>
      <c r="H57" s="557"/>
      <c r="I57" s="557"/>
      <c r="J57" s="554"/>
      <c r="M57" s="748"/>
      <c r="N57" s="748"/>
      <c r="P57" s="12"/>
      <c r="Q57" s="2"/>
    </row>
    <row r="58" spans="1:17" ht="15.6" hidden="1" customHeight="1" x14ac:dyDescent="0.3">
      <c r="A58" s="741" t="s">
        <v>71</v>
      </c>
      <c r="B58" s="741"/>
      <c r="C58" s="13">
        <f>C50</f>
        <v>0</v>
      </c>
      <c r="D58" s="169"/>
      <c r="E58" s="170">
        <f xml:space="preserve"> VLOOKUP(A58,TAUX2023,4,FALSE)</f>
        <v>3.4500000000000003E-2</v>
      </c>
      <c r="F58" s="40">
        <f t="shared" si="2"/>
        <v>0</v>
      </c>
      <c r="G58" s="13">
        <f>ROUND(C58*E58,2)</f>
        <v>0</v>
      </c>
      <c r="H58" s="557"/>
      <c r="I58" s="557"/>
      <c r="J58" s="554"/>
      <c r="M58" s="48"/>
      <c r="N58" s="48"/>
      <c r="P58" s="12"/>
      <c r="Q58" s="2"/>
    </row>
    <row r="59" spans="1:17" ht="15.6" hidden="1" customHeight="1" x14ac:dyDescent="0.3">
      <c r="A59" s="741" t="s">
        <v>257</v>
      </c>
      <c r="B59" s="741"/>
      <c r="C59" s="40">
        <f>C58</f>
        <v>0</v>
      </c>
      <c r="D59" s="169"/>
      <c r="E59" s="170">
        <f xml:space="preserve"> VLOOKUP(A59,TAUX2023,4,FALSE)</f>
        <v>1.7999999999999999E-2</v>
      </c>
      <c r="F59" s="40">
        <f t="shared" si="2"/>
        <v>0</v>
      </c>
      <c r="G59" s="13">
        <f t="shared" si="3"/>
        <v>0</v>
      </c>
      <c r="H59" s="557"/>
      <c r="I59" s="557"/>
      <c r="J59" s="554"/>
      <c r="M59" s="48"/>
      <c r="N59" s="48"/>
      <c r="P59" s="12"/>
      <c r="Q59" s="2"/>
    </row>
    <row r="60" spans="1:17" ht="0.6" hidden="1" customHeight="1" x14ac:dyDescent="0.3">
      <c r="A60" s="746" t="s">
        <v>44</v>
      </c>
      <c r="B60" s="746"/>
      <c r="C60" s="18"/>
      <c r="D60" s="169"/>
      <c r="E60" s="170"/>
      <c r="F60" s="40">
        <f t="shared" si="2"/>
        <v>0</v>
      </c>
      <c r="G60" s="13"/>
      <c r="H60" s="557"/>
      <c r="I60" s="557"/>
      <c r="J60" s="554"/>
      <c r="M60" s="748"/>
      <c r="N60" s="748"/>
      <c r="O60" s="10"/>
    </row>
    <row r="61" spans="1:17" ht="16.2" hidden="1" customHeight="1" x14ac:dyDescent="0.3">
      <c r="A61" s="749" t="s">
        <v>209</v>
      </c>
      <c r="B61" s="749"/>
      <c r="C61" s="39"/>
      <c r="D61" s="169"/>
      <c r="E61" s="170">
        <f>IF(H10&gt;=45778,4%,4.05%)+'TABLE DES TAUX 2025 '!E14</f>
        <v>4.2500000000000003E-2</v>
      </c>
      <c r="F61" s="40">
        <f t="shared" si="2"/>
        <v>0</v>
      </c>
      <c r="G61" s="13">
        <f t="shared" si="3"/>
        <v>0</v>
      </c>
      <c r="H61" s="557"/>
      <c r="I61" s="557"/>
      <c r="J61" s="554"/>
      <c r="M61" s="48"/>
      <c r="N61" s="48"/>
      <c r="O61" s="10"/>
    </row>
    <row r="62" spans="1:17" ht="12.75" hidden="1" customHeight="1" x14ac:dyDescent="0.3">
      <c r="A62" s="753"/>
      <c r="B62" s="754"/>
      <c r="C62" s="39"/>
      <c r="D62" s="169"/>
      <c r="E62" s="170"/>
      <c r="F62" s="40"/>
      <c r="G62" s="13"/>
      <c r="H62" s="557"/>
      <c r="I62" s="557"/>
      <c r="M62" s="48"/>
      <c r="N62" s="48"/>
      <c r="O62" s="10"/>
    </row>
    <row r="63" spans="1:17" ht="18" hidden="1" customHeight="1" x14ac:dyDescent="0.3">
      <c r="A63" s="750" t="s">
        <v>284</v>
      </c>
      <c r="B63" s="751"/>
      <c r="C63" s="39">
        <f>IF(I9=2,C61,0)</f>
        <v>0</v>
      </c>
      <c r="D63" s="171">
        <f>VLOOKUP(A63,TAUX2023,3,FALSE)</f>
        <v>2.4000000000000001E-4</v>
      </c>
      <c r="E63" s="172">
        <f xml:space="preserve"> VLOOKUP(A63,TAUX2023,4,FALSE)</f>
        <v>3.6000000000000002E-4</v>
      </c>
      <c r="F63" s="40">
        <f t="shared" si="2"/>
        <v>0</v>
      </c>
      <c r="G63" s="13">
        <f t="shared" si="3"/>
        <v>0</v>
      </c>
      <c r="H63" s="557"/>
      <c r="I63" s="557"/>
      <c r="M63" s="48"/>
      <c r="N63" s="48"/>
      <c r="O63" s="10"/>
    </row>
    <row r="64" spans="1:17" ht="18" hidden="1" customHeight="1" x14ac:dyDescent="0.3">
      <c r="A64" s="752" t="s">
        <v>45</v>
      </c>
      <c r="B64" s="752"/>
      <c r="C64" s="13"/>
      <c r="D64" s="171"/>
      <c r="E64" s="172"/>
      <c r="F64" s="40">
        <f t="shared" si="2"/>
        <v>0</v>
      </c>
      <c r="G64" s="13">
        <f>E120</f>
        <v>0</v>
      </c>
      <c r="H64" s="557"/>
      <c r="I64" s="557"/>
      <c r="M64" s="748"/>
      <c r="N64" s="748"/>
      <c r="O64" s="5"/>
    </row>
    <row r="65" spans="1:12" ht="33.75" hidden="1" customHeight="1" x14ac:dyDescent="0.3">
      <c r="A65" s="755" t="s">
        <v>47</v>
      </c>
      <c r="B65" s="755"/>
      <c r="C65" s="18"/>
      <c r="D65" s="33"/>
      <c r="E65" s="14"/>
      <c r="F65" s="40"/>
      <c r="G65" s="13"/>
      <c r="H65" s="557"/>
      <c r="I65" s="557"/>
    </row>
    <row r="66" spans="1:12" ht="18" hidden="1" customHeight="1" x14ac:dyDescent="0.3">
      <c r="A66" s="731" t="s">
        <v>48</v>
      </c>
      <c r="B66" s="731"/>
      <c r="C66" s="40">
        <f>C36*0.9825</f>
        <v>0</v>
      </c>
      <c r="D66" s="169">
        <f>VLOOKUP(A66,TAUX2023,3,FALSE)</f>
        <v>6.8000000000000005E-2</v>
      </c>
      <c r="E66" s="182"/>
      <c r="F66" s="40">
        <f t="shared" si="2"/>
        <v>0</v>
      </c>
      <c r="G66" s="13"/>
      <c r="H66" s="557"/>
      <c r="I66" s="557"/>
      <c r="J66" s="2"/>
    </row>
    <row r="67" spans="1:12" ht="22.2" hidden="1" customHeight="1" x14ac:dyDescent="0.3">
      <c r="A67" s="731" t="s">
        <v>49</v>
      </c>
      <c r="B67" s="731"/>
      <c r="C67" s="13">
        <f>C66</f>
        <v>0</v>
      </c>
      <c r="D67" s="169">
        <f>VLOOKUP(A67,TAUX2023,3,FALSE)</f>
        <v>2.9000000000000001E-2</v>
      </c>
      <c r="E67" s="182"/>
      <c r="F67" s="40">
        <f t="shared" si="2"/>
        <v>0</v>
      </c>
      <c r="G67" s="13"/>
      <c r="H67" s="557"/>
      <c r="I67" s="557"/>
      <c r="J67" s="2"/>
      <c r="K67" s="2"/>
    </row>
    <row r="68" spans="1:12" ht="22.2" hidden="1" customHeight="1" x14ac:dyDescent="0.3">
      <c r="A68" s="731" t="s">
        <v>50</v>
      </c>
      <c r="B68" s="731"/>
      <c r="C68" s="13"/>
      <c r="D68" s="169">
        <f>+D66</f>
        <v>6.8000000000000005E-2</v>
      </c>
      <c r="E68" s="182"/>
      <c r="F68" s="40">
        <f>ROUND(C68*D68,2)</f>
        <v>0</v>
      </c>
      <c r="G68" s="13">
        <f t="shared" si="3"/>
        <v>0</v>
      </c>
      <c r="H68" s="553"/>
      <c r="J68" s="2"/>
      <c r="K68" s="2"/>
    </row>
    <row r="69" spans="1:12" ht="22.2" hidden="1" customHeight="1" x14ac:dyDescent="0.3">
      <c r="A69" s="731" t="s">
        <v>51</v>
      </c>
      <c r="B69" s="731"/>
      <c r="C69" s="13"/>
      <c r="D69" s="169">
        <f>+D68</f>
        <v>6.8000000000000005E-2</v>
      </c>
      <c r="E69" s="182"/>
      <c r="F69" s="40">
        <f>ROUND(C69*D69,2)</f>
        <v>0</v>
      </c>
      <c r="G69" s="13">
        <f t="shared" si="3"/>
        <v>0</v>
      </c>
      <c r="H69" s="553"/>
      <c r="J69" s="2"/>
      <c r="K69" s="2"/>
    </row>
    <row r="70" spans="1:12" ht="22.2" hidden="1" customHeight="1" x14ac:dyDescent="0.3">
      <c r="A70" s="731" t="s">
        <v>52</v>
      </c>
      <c r="B70" s="731"/>
      <c r="C70" s="13">
        <f>C68+C69</f>
        <v>0</v>
      </c>
      <c r="D70" s="169">
        <f>+D67</f>
        <v>2.9000000000000001E-2</v>
      </c>
      <c r="E70" s="182"/>
      <c r="F70" s="40">
        <f>ROUND(C70*D70,2)</f>
        <v>0</v>
      </c>
      <c r="G70" s="13">
        <f t="shared" si="3"/>
        <v>0</v>
      </c>
      <c r="H70" s="553"/>
      <c r="J70" s="2"/>
      <c r="K70" s="2"/>
    </row>
    <row r="71" spans="1:12" ht="20.399999999999999" hidden="1" customHeight="1" x14ac:dyDescent="0.3">
      <c r="A71" s="755" t="s">
        <v>235</v>
      </c>
      <c r="B71" s="755"/>
      <c r="C71" s="13"/>
      <c r="D71" s="33"/>
      <c r="E71" s="14"/>
      <c r="F71" s="13"/>
      <c r="G71" s="40">
        <f>-'RED. GEN. de COT. Janv'!I16-'HEURES SUPPLEMENTAIRES '!A145</f>
        <v>0</v>
      </c>
      <c r="H71" s="553"/>
      <c r="J71" s="2"/>
      <c r="K71" s="2"/>
    </row>
    <row r="72" spans="1:12" ht="20.399999999999999" hidden="1" customHeight="1" x14ac:dyDescent="0.3">
      <c r="A72" s="740" t="s">
        <v>53</v>
      </c>
      <c r="B72" s="740"/>
      <c r="C72" s="50">
        <f>'HEURES SUPPLEMENTAIRES '!F141</f>
        <v>0</v>
      </c>
      <c r="D72" s="33"/>
      <c r="E72" s="168"/>
      <c r="F72" s="19">
        <f>-ROUND(C72*E72,2)</f>
        <v>0</v>
      </c>
      <c r="G72" s="17"/>
      <c r="H72" s="553"/>
      <c r="I72" s="2"/>
      <c r="J72" s="2"/>
      <c r="K72" s="2"/>
    </row>
    <row r="73" spans="1:12" ht="20.399999999999999" hidden="1" customHeight="1" x14ac:dyDescent="0.3">
      <c r="A73" s="740" t="s">
        <v>54</v>
      </c>
      <c r="B73" s="740"/>
      <c r="C73" s="13"/>
      <c r="D73" s="13"/>
      <c r="E73" s="13"/>
      <c r="F73" s="13">
        <f>SUM(F36:F72)</f>
        <v>0</v>
      </c>
      <c r="G73" s="13">
        <f>SUM(G36:G72)</f>
        <v>0</v>
      </c>
      <c r="H73" s="555"/>
      <c r="I73" s="2"/>
    </row>
    <row r="74" spans="1:12" ht="13.8" customHeight="1" x14ac:dyDescent="0.3">
      <c r="A74" s="740" t="s">
        <v>396</v>
      </c>
      <c r="B74" s="740"/>
      <c r="C74" s="13"/>
      <c r="D74" s="13"/>
      <c r="E74" s="18"/>
      <c r="F74" s="13">
        <f>'Masque de Saisie'!E47*'Masque de Saisie'!E48</f>
        <v>138</v>
      </c>
      <c r="G74" s="222">
        <f>'Masque de Saisie'!E47*'Masque de Saisie'!E49</f>
        <v>138</v>
      </c>
      <c r="H74" s="553"/>
    </row>
    <row r="75" spans="1:12" ht="16.8" customHeight="1" x14ac:dyDescent="0.3">
      <c r="A75" s="756" t="s">
        <v>55</v>
      </c>
      <c r="B75" s="756"/>
      <c r="C75" s="41"/>
      <c r="D75" s="41"/>
      <c r="E75" s="26"/>
      <c r="F75" s="41">
        <f>'Masque de Saisie'!E50</f>
        <v>44.4</v>
      </c>
      <c r="G75" s="26"/>
      <c r="H75" s="556"/>
    </row>
    <row r="76" spans="1:12" ht="19.5" hidden="1" customHeight="1" x14ac:dyDescent="0.3">
      <c r="A76" s="756"/>
      <c r="B76" s="756"/>
      <c r="C76" s="41"/>
      <c r="D76" s="41"/>
      <c r="E76" s="26"/>
      <c r="F76" s="41"/>
      <c r="G76" s="26"/>
      <c r="I76" s="7"/>
      <c r="J76" s="8"/>
      <c r="K76" s="7"/>
    </row>
    <row r="77" spans="1:12" ht="19.2" hidden="1" customHeight="1" x14ac:dyDescent="0.3">
      <c r="A77" s="697" t="s">
        <v>469</v>
      </c>
      <c r="B77" s="698"/>
      <c r="C77" s="41"/>
      <c r="D77" s="41"/>
      <c r="E77" s="26"/>
      <c r="F77" s="41"/>
      <c r="G77" s="26"/>
      <c r="I77" s="7"/>
      <c r="J77" s="8"/>
      <c r="K77" s="7"/>
    </row>
    <row r="78" spans="1:12" ht="18" customHeight="1" x14ac:dyDescent="0.3">
      <c r="A78" s="757" t="s">
        <v>64</v>
      </c>
      <c r="B78" s="757"/>
      <c r="C78" s="757"/>
      <c r="D78" s="757"/>
      <c r="E78" s="757"/>
      <c r="F78" s="757"/>
      <c r="G78" s="757"/>
      <c r="H78" s="757"/>
      <c r="I78" s="757"/>
      <c r="J78" s="758">
        <f>J33-F73+F75-F76-F74+F77</f>
        <v>606.75</v>
      </c>
      <c r="K78" s="759"/>
      <c r="L78" s="759"/>
    </row>
    <row r="79" spans="1:12" ht="2.4" hidden="1" customHeight="1" x14ac:dyDescent="0.3">
      <c r="A79" s="760" t="s">
        <v>56</v>
      </c>
      <c r="B79" s="760"/>
      <c r="C79" s="760"/>
      <c r="D79" s="760"/>
      <c r="E79" s="760"/>
      <c r="F79" s="760"/>
      <c r="G79" s="760"/>
      <c r="H79" s="760"/>
      <c r="I79" s="760"/>
      <c r="J79" s="761">
        <f>F127</f>
        <v>0</v>
      </c>
      <c r="K79" s="762"/>
      <c r="L79" s="762"/>
    </row>
    <row r="80" spans="1:12" ht="4.8" hidden="1" customHeight="1" x14ac:dyDescent="0.3">
      <c r="A80" s="760"/>
      <c r="B80" s="760"/>
      <c r="C80" s="760"/>
      <c r="D80" s="760"/>
      <c r="E80" s="760"/>
      <c r="F80" s="760"/>
      <c r="G80" s="760"/>
      <c r="H80" s="760"/>
      <c r="I80" s="760"/>
      <c r="J80" s="762"/>
      <c r="K80" s="762"/>
      <c r="L80" s="762"/>
    </row>
    <row r="81" spans="1:14" ht="0.6" hidden="1" customHeight="1" x14ac:dyDescent="0.3">
      <c r="A81" s="760"/>
      <c r="B81" s="760"/>
      <c r="C81" s="760"/>
      <c r="D81" s="760"/>
      <c r="E81" s="760"/>
      <c r="F81" s="760"/>
      <c r="G81" s="760"/>
      <c r="H81" s="760"/>
      <c r="I81" s="760"/>
      <c r="J81" s="762"/>
      <c r="K81" s="762"/>
      <c r="L81" s="762"/>
    </row>
    <row r="82" spans="1:14" ht="20.25" customHeight="1" x14ac:dyDescent="0.3">
      <c r="A82" s="763" t="s">
        <v>65</v>
      </c>
      <c r="B82" s="764"/>
      <c r="C82" s="765"/>
      <c r="D82" s="769" t="s">
        <v>59</v>
      </c>
      <c r="E82" s="769"/>
      <c r="F82" s="769" t="s">
        <v>66</v>
      </c>
      <c r="G82" s="769"/>
      <c r="H82" s="53" t="s">
        <v>60</v>
      </c>
      <c r="I82" s="23"/>
      <c r="J82" s="654"/>
      <c r="K82" s="654"/>
      <c r="L82" s="654"/>
    </row>
    <row r="83" spans="1:14" x14ac:dyDescent="0.3">
      <c r="A83" s="766"/>
      <c r="B83" s="767"/>
      <c r="C83" s="768"/>
      <c r="D83" s="770"/>
      <c r="E83" s="771"/>
      <c r="F83" s="772">
        <f>'TAUX NEUTRE '!H12</f>
        <v>0</v>
      </c>
      <c r="G83" s="773"/>
      <c r="H83" s="54">
        <f>ROUND(D83*F83,2)</f>
        <v>0</v>
      </c>
      <c r="I83" s="23"/>
      <c r="J83" s="654"/>
      <c r="K83" s="654"/>
      <c r="L83" s="654"/>
    </row>
    <row r="84" spans="1:14" x14ac:dyDescent="0.3">
      <c r="A84" s="777" t="s">
        <v>57</v>
      </c>
      <c r="B84" s="777"/>
      <c r="C84" s="777"/>
      <c r="D84" s="777"/>
      <c r="E84" s="777"/>
      <c r="F84" s="777"/>
      <c r="G84" s="777"/>
      <c r="H84" s="777"/>
      <c r="I84" s="777"/>
      <c r="J84" s="779">
        <f>G73+J33</f>
        <v>700.35</v>
      </c>
      <c r="K84" s="762"/>
      <c r="L84" s="762"/>
    </row>
    <row r="85" spans="1:14" x14ac:dyDescent="0.3">
      <c r="A85" s="777" t="s">
        <v>67</v>
      </c>
      <c r="B85" s="777"/>
      <c r="C85" s="777"/>
      <c r="D85" s="777"/>
      <c r="E85" s="777"/>
      <c r="F85" s="777"/>
      <c r="G85" s="777"/>
      <c r="H85" s="777"/>
      <c r="I85" s="777"/>
      <c r="J85" s="780">
        <f>-G71+IF(C59=0,J33*1.8%,0) +IF(C37=0,J33*6%,0)</f>
        <v>54.627300000000005</v>
      </c>
      <c r="K85" s="781"/>
      <c r="L85" s="781"/>
    </row>
    <row r="86" spans="1:14" x14ac:dyDescent="0.3">
      <c r="A86" s="777" t="s">
        <v>236</v>
      </c>
      <c r="B86" s="777"/>
      <c r="C86" s="777"/>
      <c r="D86" s="777"/>
      <c r="E86" s="777"/>
      <c r="F86" s="777"/>
      <c r="G86" s="777"/>
      <c r="H86" s="777"/>
      <c r="I86" s="777"/>
      <c r="J86" s="779">
        <f>J78-H83</f>
        <v>606.75</v>
      </c>
      <c r="K86" s="762"/>
      <c r="L86" s="762"/>
    </row>
    <row r="87" spans="1:14" x14ac:dyDescent="0.3">
      <c r="A87" s="777" t="s">
        <v>61</v>
      </c>
      <c r="B87" s="777"/>
      <c r="C87" s="777"/>
      <c r="D87" s="777"/>
      <c r="E87" s="777"/>
      <c r="F87" s="777"/>
      <c r="G87" s="777"/>
      <c r="H87" s="777"/>
      <c r="I87" s="777"/>
      <c r="J87" s="778"/>
      <c r="K87" s="762"/>
      <c r="L87" s="762"/>
      <c r="N87" s="2"/>
    </row>
    <row r="88" spans="1:14" x14ac:dyDescent="0.3">
      <c r="A88" s="62"/>
      <c r="B88" s="363" t="s">
        <v>63</v>
      </c>
      <c r="C88" s="363" t="s">
        <v>289</v>
      </c>
      <c r="D88" s="782" t="s">
        <v>291</v>
      </c>
      <c r="E88" s="783"/>
      <c r="F88" s="784" t="s">
        <v>292</v>
      </c>
      <c r="G88" s="784"/>
      <c r="H88" s="383"/>
      <c r="I88" s="383"/>
      <c r="J88" s="179"/>
      <c r="K88" s="366"/>
      <c r="L88" s="366"/>
    </row>
    <row r="89" spans="1:14" ht="21" customHeight="1" x14ac:dyDescent="0.3">
      <c r="A89" s="384" t="s">
        <v>290</v>
      </c>
      <c r="B89" s="66"/>
      <c r="C89" s="66"/>
      <c r="D89" s="369" t="s">
        <v>107</v>
      </c>
      <c r="E89" s="66"/>
      <c r="F89" s="369" t="s">
        <v>315</v>
      </c>
      <c r="G89" s="66"/>
      <c r="H89" s="382"/>
      <c r="I89" s="383"/>
      <c r="J89" s="179"/>
      <c r="K89" s="366"/>
      <c r="L89" s="366"/>
    </row>
    <row r="90" spans="1:14" ht="21" customHeight="1" x14ac:dyDescent="0.3">
      <c r="A90" s="385" t="s">
        <v>294</v>
      </c>
      <c r="B90" s="370">
        <f>C72</f>
        <v>0</v>
      </c>
      <c r="C90" s="66"/>
      <c r="D90" s="369" t="s">
        <v>100</v>
      </c>
      <c r="E90" s="66"/>
      <c r="F90" s="369" t="s">
        <v>247</v>
      </c>
      <c r="G90" s="66"/>
      <c r="H90" s="383"/>
      <c r="I90" s="383"/>
      <c r="J90" s="179"/>
      <c r="K90" s="366"/>
      <c r="L90" s="366"/>
    </row>
    <row r="91" spans="1:14" ht="17.25" customHeight="1" x14ac:dyDescent="0.3">
      <c r="A91" s="386" t="s">
        <v>185</v>
      </c>
      <c r="B91" s="370">
        <f>J33</f>
        <v>700.35</v>
      </c>
      <c r="C91" s="66"/>
      <c r="D91" s="369" t="s">
        <v>246</v>
      </c>
      <c r="E91" s="66"/>
      <c r="F91" s="369" t="s">
        <v>246</v>
      </c>
      <c r="G91" s="66"/>
      <c r="H91" s="383"/>
      <c r="I91" s="383"/>
      <c r="J91" s="179"/>
      <c r="K91" s="366"/>
      <c r="L91" s="366"/>
    </row>
    <row r="92" spans="1:14" ht="17.25" customHeight="1" x14ac:dyDescent="0.3">
      <c r="A92" s="386" t="s">
        <v>61</v>
      </c>
      <c r="B92" s="370">
        <f>J87</f>
        <v>0</v>
      </c>
      <c r="C92" s="66"/>
      <c r="D92" s="365"/>
      <c r="E92" s="365"/>
      <c r="F92" s="365"/>
      <c r="G92" s="365"/>
      <c r="H92" s="383"/>
      <c r="I92" s="383"/>
      <c r="J92" s="179"/>
      <c r="K92" s="366"/>
      <c r="L92" s="366"/>
    </row>
    <row r="93" spans="1:14" ht="15" customHeight="1" x14ac:dyDescent="0.3">
      <c r="A93" s="776" t="s">
        <v>58</v>
      </c>
      <c r="B93" s="776"/>
      <c r="C93" s="776"/>
      <c r="D93" s="776"/>
      <c r="E93" s="776"/>
      <c r="F93" s="23"/>
      <c r="G93" s="23"/>
      <c r="H93" s="23"/>
      <c r="I93" s="23"/>
      <c r="J93" s="23"/>
      <c r="K93" s="23"/>
      <c r="L93" s="23"/>
    </row>
    <row r="94" spans="1:14" s="23" customFormat="1" ht="12" customHeight="1" x14ac:dyDescent="0.2">
      <c r="A94" s="43" t="s">
        <v>62</v>
      </c>
    </row>
    <row r="95" spans="1:14" x14ac:dyDescent="0.3">
      <c r="A95" s="23"/>
      <c r="B95" s="23"/>
      <c r="C95" s="23"/>
      <c r="D95" s="23"/>
      <c r="E95" s="23"/>
      <c r="F95" s="23"/>
      <c r="G95" s="23"/>
      <c r="H95" s="23"/>
      <c r="I95" s="23"/>
      <c r="J95" s="23"/>
      <c r="K95" s="23"/>
      <c r="L95" s="23"/>
    </row>
    <row r="96" spans="1:14" x14ac:dyDescent="0.3">
      <c r="A96" s="23"/>
      <c r="B96" s="23"/>
      <c r="C96" s="23"/>
      <c r="D96" s="23"/>
      <c r="E96" s="23"/>
      <c r="F96" s="23"/>
      <c r="G96" s="23"/>
      <c r="H96" s="23"/>
      <c r="I96" s="23"/>
      <c r="J96" s="23"/>
      <c r="K96" s="23"/>
      <c r="L96" s="23"/>
    </row>
    <row r="97" spans="1:18" x14ac:dyDescent="0.3">
      <c r="A97" s="23"/>
      <c r="B97" s="23"/>
      <c r="C97" s="23"/>
      <c r="D97" s="23"/>
      <c r="E97" s="23"/>
      <c r="F97" s="23"/>
      <c r="G97" s="23"/>
      <c r="H97" s="23"/>
      <c r="I97" s="23"/>
      <c r="J97" s="23"/>
      <c r="K97" s="23"/>
      <c r="L97" s="23"/>
    </row>
    <row r="98" spans="1:18" x14ac:dyDescent="0.3">
      <c r="A98" s="23"/>
      <c r="B98" s="23"/>
      <c r="C98" s="23"/>
      <c r="D98" s="23"/>
      <c r="E98" s="23"/>
      <c r="F98" s="23"/>
      <c r="G98" s="23"/>
      <c r="H98" s="23"/>
      <c r="I98" s="23"/>
      <c r="J98" s="23"/>
      <c r="K98" s="23"/>
      <c r="L98" s="23"/>
    </row>
    <row r="99" spans="1:18" x14ac:dyDescent="0.3">
      <c r="A99" s="23"/>
      <c r="B99" s="23"/>
      <c r="C99" s="23"/>
      <c r="D99" s="23"/>
      <c r="E99" s="23"/>
      <c r="F99" s="23"/>
      <c r="G99" s="23"/>
      <c r="H99" s="23"/>
      <c r="I99" s="23"/>
      <c r="J99" s="23"/>
      <c r="K99" s="23"/>
      <c r="L99" s="23"/>
    </row>
    <row r="100" spans="1:18" x14ac:dyDescent="0.3">
      <c r="A100" s="23"/>
      <c r="B100" s="23"/>
      <c r="C100" s="23"/>
      <c r="D100" s="23"/>
      <c r="E100" s="23"/>
      <c r="F100" s="23"/>
      <c r="G100" s="23"/>
      <c r="H100" s="23"/>
      <c r="I100" s="23"/>
      <c r="J100" s="23"/>
      <c r="K100" s="23"/>
      <c r="L100" s="23"/>
    </row>
    <row r="101" spans="1:18" x14ac:dyDescent="0.3">
      <c r="A101" s="23"/>
      <c r="B101" s="23"/>
      <c r="C101" s="23"/>
      <c r="D101" s="23"/>
      <c r="E101" s="23"/>
      <c r="F101" s="23"/>
      <c r="G101" s="23"/>
      <c r="H101" s="23"/>
      <c r="I101" s="23"/>
      <c r="J101" s="23"/>
      <c r="K101" s="23"/>
      <c r="L101" s="23"/>
    </row>
    <row r="102" spans="1:18" x14ac:dyDescent="0.3">
      <c r="A102" s="23"/>
      <c r="B102" s="23"/>
      <c r="C102" s="23"/>
      <c r="D102" s="23"/>
      <c r="E102" s="23"/>
      <c r="F102" s="23"/>
      <c r="G102" s="23"/>
      <c r="H102" s="23"/>
      <c r="I102" s="23"/>
      <c r="J102" s="23"/>
      <c r="K102" s="23"/>
      <c r="L102" s="23"/>
    </row>
    <row r="103" spans="1:18" x14ac:dyDescent="0.3">
      <c r="A103" s="23"/>
      <c r="B103" s="23"/>
      <c r="C103" s="23"/>
      <c r="D103" s="23"/>
      <c r="E103" s="23"/>
      <c r="F103" s="23"/>
      <c r="G103" s="23"/>
      <c r="H103" s="23"/>
      <c r="I103" s="23"/>
      <c r="J103" s="23"/>
      <c r="K103" s="23"/>
      <c r="L103" s="23"/>
    </row>
    <row r="104" spans="1:18" x14ac:dyDescent="0.3">
      <c r="A104" s="23"/>
      <c r="B104" s="23"/>
      <c r="C104" s="23"/>
      <c r="D104" s="23"/>
      <c r="E104" s="23"/>
      <c r="F104" s="23"/>
      <c r="G104" s="23"/>
      <c r="H104" s="23"/>
      <c r="I104" s="23"/>
      <c r="J104" s="23"/>
      <c r="K104" s="23"/>
      <c r="L104" s="23"/>
    </row>
    <row r="105" spans="1:18" x14ac:dyDescent="0.3">
      <c r="A105" s="23"/>
      <c r="B105" s="23"/>
      <c r="C105" s="23"/>
      <c r="D105" s="23"/>
      <c r="E105" s="23"/>
      <c r="F105" s="23"/>
      <c r="G105" s="23"/>
      <c r="H105" s="23"/>
      <c r="I105" s="23"/>
      <c r="J105" s="23"/>
      <c r="K105" s="23"/>
      <c r="L105" s="23"/>
    </row>
    <row r="106" spans="1:18" ht="15.6" x14ac:dyDescent="0.3">
      <c r="A106" s="25"/>
      <c r="B106" s="25"/>
      <c r="C106" s="25"/>
      <c r="D106" s="25"/>
      <c r="E106" s="25"/>
      <c r="F106" s="25"/>
      <c r="G106" s="25"/>
      <c r="H106" s="25"/>
      <c r="I106" s="25"/>
      <c r="J106" s="25"/>
      <c r="K106" s="25"/>
      <c r="L106" s="25"/>
      <c r="M106" s="27"/>
      <c r="N106" s="27"/>
      <c r="O106" s="27"/>
      <c r="P106" s="27"/>
      <c r="Q106" s="27"/>
      <c r="R106" s="27"/>
    </row>
    <row r="107" spans="1:18" ht="15.6" x14ac:dyDescent="0.3">
      <c r="A107" s="25" t="s">
        <v>90</v>
      </c>
      <c r="B107" s="25"/>
      <c r="C107" s="25"/>
      <c r="D107" s="25"/>
      <c r="E107" s="25"/>
      <c r="F107" s="25"/>
      <c r="G107" s="25"/>
      <c r="H107" s="25"/>
      <c r="I107" s="25"/>
      <c r="J107" s="25"/>
      <c r="K107" s="25"/>
      <c r="L107" s="25"/>
      <c r="M107" s="27"/>
      <c r="N107" s="27"/>
      <c r="O107" s="27"/>
      <c r="P107" s="27"/>
      <c r="Q107" s="27"/>
      <c r="R107" s="27"/>
    </row>
    <row r="108" spans="1:18" ht="15.6" x14ac:dyDescent="0.3">
      <c r="A108" s="25"/>
      <c r="C108" s="49" t="s">
        <v>31</v>
      </c>
      <c r="D108" s="49" t="s">
        <v>92</v>
      </c>
      <c r="E108" s="49" t="s">
        <v>101</v>
      </c>
      <c r="H108" s="25"/>
      <c r="I108" s="25"/>
      <c r="J108" s="25"/>
      <c r="K108" s="25"/>
      <c r="L108" s="25"/>
      <c r="M108" s="27"/>
      <c r="N108" s="27"/>
      <c r="O108" s="27"/>
      <c r="P108" s="27"/>
      <c r="Q108" s="27"/>
      <c r="R108" s="27"/>
    </row>
    <row r="109" spans="1:18" ht="15.6" x14ac:dyDescent="0.3">
      <c r="A109" s="774" t="s">
        <v>93</v>
      </c>
      <c r="B109" s="775"/>
      <c r="C109" s="44">
        <f>IF(B9&lt;50,IF(J33&gt;C33,C33,J33),0)</f>
        <v>0</v>
      </c>
      <c r="D109" s="51">
        <f>'TABLE DES TAUX 2025 '!E26</f>
        <v>1E-3</v>
      </c>
      <c r="E109" s="44">
        <f>ROUND(C109*D109,2)</f>
        <v>0</v>
      </c>
      <c r="H109" s="25"/>
      <c r="I109" s="25"/>
      <c r="J109" s="25"/>
      <c r="K109" s="25"/>
      <c r="L109" s="25"/>
      <c r="M109" s="27"/>
      <c r="N109" s="27"/>
      <c r="O109" s="27"/>
      <c r="P109" s="27"/>
      <c r="Q109" s="27"/>
      <c r="R109" s="27"/>
    </row>
    <row r="110" spans="1:18" ht="15.6" x14ac:dyDescent="0.3">
      <c r="A110" s="774" t="s">
        <v>94</v>
      </c>
      <c r="B110" s="775"/>
      <c r="C110" s="44">
        <f>C49</f>
        <v>0</v>
      </c>
      <c r="D110" s="51">
        <f>+'TABLE DES TAUX 2025 '!E27</f>
        <v>5.0000000000000001E-3</v>
      </c>
      <c r="E110" s="44">
        <f>ROUND(C110*D110,2)</f>
        <v>0</v>
      </c>
      <c r="H110" s="25"/>
      <c r="I110" s="25"/>
      <c r="J110" s="25"/>
      <c r="K110" s="25"/>
      <c r="L110" s="25"/>
      <c r="M110" s="27"/>
      <c r="N110" s="27"/>
      <c r="O110" s="27"/>
      <c r="P110" s="27"/>
      <c r="Q110" s="27"/>
      <c r="R110" s="27"/>
    </row>
    <row r="111" spans="1:18" ht="15.6" x14ac:dyDescent="0.3">
      <c r="A111" s="774" t="s">
        <v>283</v>
      </c>
      <c r="B111" s="775"/>
      <c r="C111" s="44">
        <f>C110</f>
        <v>0</v>
      </c>
      <c r="D111" s="51">
        <f>'Masque de Saisie'!H22</f>
        <v>3.2000000000000001E-2</v>
      </c>
      <c r="E111" s="44">
        <f t="shared" ref="E111:E119" si="4">ROUND(C111*D111,2)</f>
        <v>0</v>
      </c>
      <c r="H111" s="25"/>
      <c r="I111" s="25"/>
      <c r="J111" s="25"/>
      <c r="K111" s="25"/>
      <c r="L111" s="25"/>
      <c r="M111" s="27"/>
      <c r="N111" s="27"/>
      <c r="O111" s="27"/>
      <c r="P111" s="27"/>
      <c r="Q111" s="27"/>
      <c r="R111" s="27"/>
    </row>
    <row r="112" spans="1:18" ht="15.6" x14ac:dyDescent="0.3">
      <c r="A112" s="787" t="s">
        <v>72</v>
      </c>
      <c r="B112" s="788"/>
      <c r="C112" s="44">
        <f>C111</f>
        <v>0</v>
      </c>
      <c r="D112" s="51">
        <f>'TABLE DES TAUX 2025 '!E29</f>
        <v>3.0000000000000001E-3</v>
      </c>
      <c r="E112" s="44">
        <f t="shared" si="4"/>
        <v>0</v>
      </c>
      <c r="H112" s="25"/>
      <c r="I112" s="25"/>
      <c r="J112" s="25"/>
      <c r="K112" s="25"/>
      <c r="L112" s="25"/>
      <c r="M112" s="27"/>
      <c r="N112" s="27"/>
      <c r="O112" s="27"/>
      <c r="P112" s="27"/>
      <c r="Q112" s="27"/>
      <c r="R112" s="27"/>
    </row>
    <row r="113" spans="1:18" ht="15.6" x14ac:dyDescent="0.3">
      <c r="A113" s="774" t="s">
        <v>91</v>
      </c>
      <c r="B113" s="775"/>
      <c r="C113" s="44">
        <f>IF(B9&gt;=11, IF(I9=2,G38+G41+G42,G39+G40),0)</f>
        <v>0</v>
      </c>
      <c r="D113" s="51">
        <f>'TABLE DES TAUX 2025 '!E30</f>
        <v>0.08</v>
      </c>
      <c r="E113" s="44">
        <f t="shared" si="4"/>
        <v>0</v>
      </c>
      <c r="H113" s="27"/>
      <c r="I113" s="27"/>
      <c r="J113" s="27"/>
      <c r="K113" s="27"/>
      <c r="L113" s="27"/>
      <c r="M113" s="27"/>
      <c r="N113" s="27"/>
      <c r="O113" s="27"/>
      <c r="P113" s="27"/>
      <c r="Q113" s="27"/>
      <c r="R113" s="27"/>
    </row>
    <row r="114" spans="1:18" ht="15.6" x14ac:dyDescent="0.3">
      <c r="A114" s="788" t="s">
        <v>227</v>
      </c>
      <c r="B114" s="792"/>
      <c r="C114" s="44">
        <f>G43</f>
        <v>0</v>
      </c>
      <c r="D114" s="51">
        <f>'TABLE DES TAUX 2025 '!E31</f>
        <v>0.2</v>
      </c>
      <c r="E114" s="44">
        <f t="shared" si="4"/>
        <v>0</v>
      </c>
      <c r="H114" s="27"/>
      <c r="I114" s="27"/>
      <c r="J114" s="27"/>
      <c r="K114" s="27"/>
      <c r="L114" s="27"/>
      <c r="M114" s="27"/>
      <c r="N114" s="27"/>
      <c r="O114" s="27"/>
      <c r="P114" s="27"/>
      <c r="Q114" s="27"/>
      <c r="R114" s="27"/>
    </row>
    <row r="115" spans="1:18" ht="16.5" customHeight="1" x14ac:dyDescent="0.3">
      <c r="A115" s="787" t="s">
        <v>73</v>
      </c>
      <c r="B115" s="788"/>
      <c r="C115" s="44"/>
      <c r="D115" s="51">
        <f>'TABLE DES TAUX 2025 '!E32</f>
        <v>1.6000000000000001E-4</v>
      </c>
      <c r="E115" s="44">
        <f t="shared" si="4"/>
        <v>0</v>
      </c>
      <c r="H115" s="27"/>
      <c r="I115" s="27"/>
      <c r="J115" s="27"/>
      <c r="K115" s="27"/>
      <c r="L115" s="27"/>
      <c r="M115" s="27"/>
      <c r="N115" s="27"/>
      <c r="O115" s="27"/>
      <c r="P115" s="27"/>
      <c r="Q115" s="27"/>
      <c r="R115" s="27"/>
    </row>
    <row r="116" spans="1:18" ht="15.6" x14ac:dyDescent="0.3">
      <c r="A116" s="787" t="s">
        <v>78</v>
      </c>
      <c r="B116" s="788"/>
      <c r="C116" s="44">
        <f>C112</f>
        <v>0</v>
      </c>
      <c r="D116" s="51">
        <f>'TABLE DES TAUX 2025 '!E33</f>
        <v>6.7999999999999996E-3</v>
      </c>
      <c r="E116" s="44">
        <f t="shared" si="4"/>
        <v>0</v>
      </c>
      <c r="H116" s="27"/>
      <c r="I116" s="27"/>
      <c r="J116" s="27"/>
      <c r="K116" s="27"/>
      <c r="L116" s="27"/>
      <c r="M116" s="27"/>
      <c r="N116" s="27"/>
      <c r="O116" s="27"/>
      <c r="P116" s="27"/>
      <c r="Q116" s="27"/>
      <c r="R116" s="27"/>
    </row>
    <row r="117" spans="1:18" ht="15.6" x14ac:dyDescent="0.3">
      <c r="A117" s="787" t="s">
        <v>79</v>
      </c>
      <c r="B117" s="788"/>
      <c r="C117" s="44">
        <f>C112</f>
        <v>0</v>
      </c>
      <c r="D117" s="51">
        <f>'TABLE DES TAUX 2025 '!E34</f>
        <v>0.01</v>
      </c>
      <c r="E117" s="44">
        <f t="shared" si="4"/>
        <v>0</v>
      </c>
      <c r="H117" s="27"/>
      <c r="I117" s="27"/>
      <c r="J117" s="27"/>
      <c r="K117" s="27"/>
      <c r="L117" s="27"/>
      <c r="M117" s="27"/>
      <c r="N117" s="27"/>
      <c r="O117" s="27"/>
      <c r="P117" s="27"/>
      <c r="Q117" s="27"/>
      <c r="R117" s="27"/>
    </row>
    <row r="118" spans="1:18" ht="15.6" x14ac:dyDescent="0.3">
      <c r="A118" s="787" t="s">
        <v>79</v>
      </c>
      <c r="B118" s="788"/>
      <c r="C118" s="44">
        <f>IF(B9&gt;=11,0,J33)</f>
        <v>0</v>
      </c>
      <c r="D118" s="51">
        <f>'TABLE DES TAUX 2025 '!E35</f>
        <v>5.4999999999999997E-3</v>
      </c>
      <c r="E118" s="44">
        <f t="shared" si="4"/>
        <v>0</v>
      </c>
      <c r="H118" s="27"/>
      <c r="I118" s="27"/>
      <c r="J118" s="27"/>
      <c r="K118" s="27"/>
      <c r="L118" s="27"/>
      <c r="M118" s="27"/>
      <c r="N118" s="27"/>
      <c r="O118" s="27"/>
      <c r="P118" s="27"/>
      <c r="Q118" s="27"/>
      <c r="R118" s="27"/>
    </row>
    <row r="119" spans="1:18" ht="15.6" x14ac:dyDescent="0.3">
      <c r="A119" s="787" t="s">
        <v>84</v>
      </c>
      <c r="B119" s="788"/>
      <c r="C119" s="44">
        <f>C117</f>
        <v>0</v>
      </c>
      <c r="D119" s="51">
        <f>'TABLE DES TAUX 2025 '!E36</f>
        <v>4.4999999999999997E-3</v>
      </c>
      <c r="E119" s="44">
        <f t="shared" si="4"/>
        <v>0</v>
      </c>
      <c r="H119" s="27"/>
      <c r="I119" s="27"/>
      <c r="J119" s="27"/>
      <c r="K119" s="27"/>
      <c r="L119" s="27"/>
      <c r="M119" s="27"/>
      <c r="N119" s="27"/>
      <c r="O119" s="27"/>
      <c r="P119" s="27"/>
      <c r="Q119" s="27"/>
      <c r="R119" s="27"/>
    </row>
    <row r="120" spans="1:18" ht="15.6" x14ac:dyDescent="0.3">
      <c r="A120" s="27"/>
      <c r="B120" s="27"/>
      <c r="D120" s="27"/>
      <c r="E120" s="67">
        <f>SUM(E109:E119)</f>
        <v>0</v>
      </c>
      <c r="F120" s="27"/>
      <c r="G120" s="27"/>
      <c r="H120" s="27"/>
      <c r="I120" s="27"/>
      <c r="J120" s="27"/>
      <c r="K120" s="27"/>
      <c r="L120" s="27"/>
      <c r="M120" s="27"/>
      <c r="N120" s="27"/>
      <c r="O120" s="27"/>
      <c r="P120" s="27"/>
      <c r="Q120" s="27"/>
      <c r="R120" s="27"/>
    </row>
    <row r="121" spans="1:18" ht="15.6" x14ac:dyDescent="0.3">
      <c r="A121" s="27"/>
      <c r="B121" s="27"/>
      <c r="C121" s="27"/>
      <c r="D121" s="27"/>
      <c r="E121" s="27"/>
      <c r="F121" s="27"/>
      <c r="G121" s="27"/>
      <c r="H121" s="27"/>
      <c r="I121" s="27"/>
      <c r="J121" s="27"/>
      <c r="K121" s="27"/>
      <c r="L121" s="27"/>
      <c r="M121" s="27"/>
      <c r="N121" s="27"/>
      <c r="O121" s="27"/>
      <c r="P121" s="27"/>
      <c r="Q121" s="27"/>
      <c r="R121" s="27"/>
    </row>
    <row r="122" spans="1:18" ht="15.6" x14ac:dyDescent="0.3">
      <c r="A122" s="24"/>
      <c r="B122" s="24"/>
      <c r="C122" s="24"/>
      <c r="D122" s="24"/>
      <c r="E122" s="24"/>
      <c r="F122" s="24"/>
      <c r="G122" s="24"/>
      <c r="H122" s="27"/>
      <c r="I122" s="27"/>
      <c r="J122" s="27"/>
      <c r="K122" s="27"/>
      <c r="L122" s="27"/>
      <c r="M122" s="27"/>
      <c r="N122" s="27"/>
      <c r="O122" s="27"/>
      <c r="P122" s="27"/>
      <c r="Q122" s="27"/>
      <c r="R122" s="27"/>
    </row>
    <row r="123" spans="1:18" ht="24.6" hidden="1" customHeight="1" x14ac:dyDescent="0.3">
      <c r="A123" s="24"/>
      <c r="B123" s="24"/>
      <c r="C123" s="24"/>
      <c r="D123" s="24"/>
      <c r="E123" s="24"/>
      <c r="F123" s="24"/>
      <c r="G123" s="24"/>
      <c r="H123" s="27"/>
      <c r="I123" s="27"/>
      <c r="J123" s="27"/>
      <c r="K123" s="27"/>
      <c r="L123" s="27"/>
      <c r="M123" s="27"/>
      <c r="N123" s="27"/>
      <c r="O123" s="27"/>
      <c r="P123" s="27"/>
      <c r="Q123" s="27"/>
      <c r="R123" s="27"/>
    </row>
    <row r="124" spans="1:18" ht="36" hidden="1" customHeight="1" x14ac:dyDescent="0.3">
      <c r="A124" s="789" t="s">
        <v>96</v>
      </c>
      <c r="B124" s="789"/>
      <c r="C124" s="46">
        <v>7.4999999999999997E-3</v>
      </c>
      <c r="D124" s="47">
        <f>C36*C124</f>
        <v>0</v>
      </c>
      <c r="E124" s="24"/>
      <c r="F124" s="24"/>
      <c r="G124" s="24"/>
      <c r="H124" s="27"/>
      <c r="I124" s="27"/>
      <c r="J124" s="27"/>
      <c r="K124" s="27"/>
      <c r="L124" s="27"/>
      <c r="M124" s="27"/>
      <c r="N124" s="27"/>
      <c r="O124" s="27"/>
      <c r="P124" s="27"/>
      <c r="Q124" s="27"/>
      <c r="R124" s="27"/>
    </row>
    <row r="125" spans="1:18" ht="34.799999999999997" hidden="1" customHeight="1" x14ac:dyDescent="0.3">
      <c r="A125" s="785" t="s">
        <v>97</v>
      </c>
      <c r="B125" s="785"/>
      <c r="C125" s="46">
        <v>2.4E-2</v>
      </c>
      <c r="D125" s="47">
        <f>C61*C125</f>
        <v>0</v>
      </c>
      <c r="E125" s="24"/>
      <c r="F125" s="24"/>
      <c r="G125" s="24"/>
      <c r="H125" s="27"/>
      <c r="I125" s="27"/>
      <c r="J125" s="27"/>
      <c r="K125" s="27"/>
      <c r="L125" s="27"/>
      <c r="M125" s="27"/>
      <c r="N125" s="27"/>
      <c r="O125" s="27"/>
      <c r="P125" s="27"/>
      <c r="Q125" s="27"/>
      <c r="R125" s="27"/>
    </row>
    <row r="126" spans="1:18" ht="22.5" hidden="1" customHeight="1" x14ac:dyDescent="0.3">
      <c r="A126" s="24"/>
      <c r="B126" s="24"/>
      <c r="C126" s="24"/>
      <c r="D126" s="24"/>
      <c r="E126" s="24"/>
      <c r="F126" s="24"/>
      <c r="G126" s="24"/>
      <c r="H126" s="27"/>
      <c r="I126" s="27"/>
      <c r="J126" s="27"/>
      <c r="K126" s="27"/>
      <c r="L126" s="27"/>
      <c r="M126" s="27"/>
      <c r="N126" s="27"/>
      <c r="O126" s="27"/>
      <c r="P126" s="27"/>
      <c r="Q126" s="27"/>
      <c r="R126" s="27"/>
    </row>
    <row r="127" spans="1:18" ht="22.2" hidden="1" customHeight="1" x14ac:dyDescent="0.3">
      <c r="A127" s="790" t="s">
        <v>118</v>
      </c>
      <c r="B127" s="790"/>
      <c r="C127" s="790"/>
      <c r="D127" s="791"/>
      <c r="E127" s="68" t="s">
        <v>99</v>
      </c>
      <c r="F127" s="69">
        <f>D124+D125-D129</f>
        <v>0</v>
      </c>
      <c r="G127" s="24"/>
      <c r="H127" s="27"/>
      <c r="I127" s="27"/>
      <c r="J127" s="27"/>
      <c r="K127" s="27"/>
      <c r="L127" s="27"/>
      <c r="M127" s="27"/>
      <c r="N127" s="27"/>
      <c r="O127" s="27"/>
      <c r="P127" s="27"/>
      <c r="Q127" s="27"/>
      <c r="R127" s="27"/>
    </row>
    <row r="128" spans="1:18" ht="0.75" hidden="1" customHeight="1" x14ac:dyDescent="0.3">
      <c r="A128" s="24"/>
      <c r="B128" s="24"/>
      <c r="C128" s="24"/>
      <c r="D128" s="24"/>
      <c r="E128" s="24"/>
      <c r="F128" s="24"/>
      <c r="G128" s="24"/>
      <c r="H128" s="27"/>
      <c r="I128" s="27"/>
      <c r="J128" s="27"/>
      <c r="K128" s="27"/>
      <c r="L128" s="27"/>
      <c r="M128" s="27"/>
      <c r="N128" s="27"/>
      <c r="O128" s="27"/>
      <c r="P128" s="27"/>
      <c r="Q128" s="27"/>
      <c r="R128" s="27"/>
    </row>
    <row r="129" spans="1:18" ht="36" hidden="1" customHeight="1" x14ac:dyDescent="0.3">
      <c r="A129" s="785" t="s">
        <v>98</v>
      </c>
      <c r="B129" s="785"/>
      <c r="C129" s="46">
        <v>1.7000000000000001E-2</v>
      </c>
      <c r="D129" s="47">
        <f>(C66+C70)*C129</f>
        <v>0</v>
      </c>
      <c r="E129" s="24"/>
      <c r="F129" s="24"/>
      <c r="G129" s="24"/>
      <c r="H129" s="27"/>
      <c r="I129" s="27"/>
      <c r="J129" s="27"/>
      <c r="K129" s="27"/>
      <c r="L129" s="27"/>
      <c r="M129" s="27"/>
      <c r="N129" s="27"/>
      <c r="O129" s="27"/>
      <c r="P129" s="27"/>
      <c r="Q129" s="27"/>
      <c r="R129" s="27"/>
    </row>
    <row r="130" spans="1:18" ht="15.6" hidden="1" x14ac:dyDescent="0.3">
      <c r="A130" s="24"/>
      <c r="B130" s="24"/>
      <c r="C130" s="24"/>
      <c r="D130" s="24"/>
      <c r="E130" s="24"/>
      <c r="F130" s="24"/>
      <c r="G130" s="24"/>
      <c r="H130" s="27"/>
      <c r="I130" s="27"/>
      <c r="J130" s="27"/>
      <c r="K130" s="27"/>
      <c r="L130" s="27"/>
      <c r="M130" s="27"/>
      <c r="N130" s="27"/>
      <c r="O130" s="27"/>
      <c r="P130" s="27"/>
      <c r="Q130" s="27"/>
      <c r="R130" s="27"/>
    </row>
    <row r="131" spans="1:18" ht="15.6" x14ac:dyDescent="0.3">
      <c r="A131" s="27"/>
      <c r="B131" s="27"/>
      <c r="C131" s="27"/>
      <c r="D131" s="27"/>
      <c r="E131" s="27"/>
      <c r="F131" s="27"/>
      <c r="G131" s="27"/>
      <c r="H131" s="27"/>
      <c r="I131" s="27"/>
      <c r="J131" s="27"/>
      <c r="K131" s="27"/>
      <c r="L131" s="27"/>
      <c r="M131" s="27"/>
      <c r="N131" s="27"/>
      <c r="O131" s="27"/>
      <c r="P131" s="27"/>
      <c r="Q131" s="27"/>
      <c r="R131" s="27"/>
    </row>
    <row r="132" spans="1:18" ht="15.6" x14ac:dyDescent="0.3">
      <c r="A132" s="27"/>
      <c r="B132" s="27"/>
      <c r="C132" s="27"/>
      <c r="D132" s="27"/>
      <c r="E132" s="27"/>
      <c r="F132" s="27"/>
      <c r="G132" s="27"/>
      <c r="H132" s="27"/>
      <c r="I132" s="27"/>
      <c r="J132" s="27"/>
      <c r="K132" s="27"/>
      <c r="L132" s="27"/>
      <c r="M132" s="27"/>
      <c r="N132" s="27"/>
      <c r="O132" s="27"/>
      <c r="P132" s="27"/>
      <c r="Q132" s="27"/>
      <c r="R132" s="27"/>
    </row>
    <row r="133" spans="1:18" ht="15.6" x14ac:dyDescent="0.3">
      <c r="A133" s="27"/>
      <c r="B133" s="27"/>
      <c r="C133" s="27"/>
      <c r="D133" s="27"/>
      <c r="E133" s="27"/>
      <c r="F133" s="27"/>
      <c r="G133" s="27"/>
      <c r="H133" s="27"/>
      <c r="I133" s="27"/>
      <c r="J133" s="27"/>
      <c r="K133" s="27"/>
      <c r="L133" s="27"/>
      <c r="M133" s="27"/>
      <c r="N133" s="27"/>
      <c r="O133" s="27"/>
      <c r="P133" s="27"/>
      <c r="Q133" s="27"/>
      <c r="R133" s="27"/>
    </row>
    <row r="134" spans="1:18" ht="15.6" x14ac:dyDescent="0.3">
      <c r="A134" s="27"/>
      <c r="B134" s="27"/>
      <c r="C134" s="27"/>
      <c r="D134" s="27"/>
      <c r="E134" s="27"/>
      <c r="F134" s="27"/>
      <c r="G134" s="27"/>
      <c r="H134" s="27"/>
      <c r="I134" s="27"/>
      <c r="J134" s="27"/>
      <c r="K134" s="27"/>
      <c r="L134" s="27"/>
      <c r="M134" s="27"/>
      <c r="N134" s="27"/>
      <c r="O134" s="27"/>
      <c r="P134" s="27"/>
      <c r="Q134" s="27"/>
      <c r="R134" s="27"/>
    </row>
    <row r="135" spans="1:18" ht="15.6" x14ac:dyDescent="0.3">
      <c r="A135" s="27"/>
      <c r="B135" s="27"/>
      <c r="C135" s="27"/>
      <c r="D135" s="27"/>
      <c r="E135" s="27"/>
      <c r="F135" s="27"/>
      <c r="G135" s="27"/>
      <c r="H135" s="27"/>
      <c r="I135" s="27"/>
      <c r="J135" s="27"/>
      <c r="K135" s="27"/>
      <c r="L135" s="27"/>
      <c r="M135" s="27"/>
      <c r="N135" s="27"/>
      <c r="O135" s="27"/>
      <c r="P135" s="27"/>
      <c r="Q135" s="27"/>
      <c r="R135" s="27"/>
    </row>
    <row r="136" spans="1:18" ht="15.6" x14ac:dyDescent="0.3">
      <c r="A136" s="27"/>
      <c r="B136" s="27"/>
      <c r="C136" s="27"/>
      <c r="D136" s="27"/>
      <c r="E136" s="27"/>
      <c r="F136" s="27"/>
      <c r="G136" s="27"/>
      <c r="H136" s="27"/>
      <c r="I136" s="27"/>
      <c r="J136" s="27"/>
      <c r="K136" s="27"/>
      <c r="L136" s="27"/>
      <c r="M136" s="27"/>
      <c r="N136" s="27"/>
      <c r="O136" s="27"/>
      <c r="P136" s="27"/>
      <c r="Q136" s="27"/>
      <c r="R136" s="27"/>
    </row>
    <row r="137" spans="1:18" ht="15.6" x14ac:dyDescent="0.3">
      <c r="A137" s="27"/>
      <c r="B137" s="27"/>
      <c r="C137" s="27"/>
      <c r="D137" s="27"/>
      <c r="E137" s="27"/>
      <c r="F137" s="27"/>
      <c r="G137" s="27"/>
      <c r="H137" s="27"/>
      <c r="I137" s="27"/>
      <c r="J137" s="27"/>
      <c r="K137" s="27"/>
      <c r="L137" s="27"/>
      <c r="M137" s="27"/>
      <c r="N137" s="27"/>
      <c r="O137" s="27"/>
      <c r="P137" s="27"/>
      <c r="Q137" s="27"/>
      <c r="R137" s="27"/>
    </row>
    <row r="138" spans="1:18" ht="15.6" x14ac:dyDescent="0.3">
      <c r="A138" s="27"/>
      <c r="B138" s="27"/>
      <c r="C138" s="27"/>
      <c r="D138" s="27"/>
      <c r="E138" s="27"/>
      <c r="F138" s="27"/>
      <c r="G138" s="27"/>
      <c r="H138" s="27"/>
      <c r="I138" s="27"/>
      <c r="J138" s="27"/>
      <c r="K138" s="27"/>
      <c r="L138" s="27"/>
      <c r="M138" s="27"/>
      <c r="N138" s="27"/>
      <c r="O138" s="27"/>
      <c r="P138" s="27"/>
      <c r="Q138" s="27"/>
      <c r="R138" s="27"/>
    </row>
    <row r="139" spans="1:18" ht="15.6" x14ac:dyDescent="0.3">
      <c r="A139" s="27"/>
      <c r="B139" s="27"/>
      <c r="C139" s="27"/>
      <c r="D139" s="27"/>
      <c r="E139" s="27"/>
      <c r="F139" s="27"/>
      <c r="G139" s="27"/>
      <c r="H139" s="27"/>
      <c r="I139" s="27"/>
      <c r="J139" s="27"/>
      <c r="K139" s="27"/>
      <c r="L139" s="27"/>
      <c r="M139" s="27"/>
      <c r="N139" s="27"/>
      <c r="O139" s="27"/>
      <c r="P139" s="27"/>
      <c r="Q139" s="27"/>
      <c r="R139" s="27"/>
    </row>
    <row r="140" spans="1:18" ht="15.6" x14ac:dyDescent="0.3">
      <c r="A140" s="27"/>
      <c r="B140" s="27"/>
      <c r="C140" s="27"/>
      <c r="D140" s="27"/>
      <c r="E140" s="27"/>
      <c r="F140" s="27"/>
      <c r="G140" s="27"/>
      <c r="H140" s="27"/>
      <c r="I140" s="27"/>
      <c r="J140" s="27"/>
      <c r="K140" s="27"/>
      <c r="L140" s="27"/>
      <c r="M140" s="27"/>
      <c r="N140" s="27"/>
      <c r="O140" s="27"/>
      <c r="P140" s="27"/>
      <c r="Q140" s="27"/>
      <c r="R140" s="27"/>
    </row>
    <row r="141" spans="1:18" ht="15.6" x14ac:dyDescent="0.3">
      <c r="A141" s="27"/>
      <c r="B141" s="27"/>
      <c r="C141" s="27"/>
      <c r="D141" s="27"/>
      <c r="E141" s="27"/>
      <c r="F141" s="27"/>
      <c r="G141" s="27"/>
      <c r="H141" s="27"/>
      <c r="I141" s="27"/>
      <c r="J141" s="27"/>
      <c r="K141" s="27"/>
      <c r="L141" s="27"/>
      <c r="M141" s="27"/>
      <c r="N141" s="27"/>
      <c r="O141" s="27"/>
      <c r="P141" s="27"/>
      <c r="Q141" s="27"/>
      <c r="R141" s="27"/>
    </row>
    <row r="142" spans="1:18" ht="15.6" x14ac:dyDescent="0.3">
      <c r="A142" s="27"/>
      <c r="B142" s="27"/>
      <c r="C142" s="27"/>
      <c r="D142" s="27"/>
      <c r="E142" s="27"/>
      <c r="F142" s="27"/>
      <c r="G142" s="27"/>
      <c r="H142" s="27"/>
      <c r="I142" s="27"/>
      <c r="J142" s="27"/>
      <c r="K142" s="27"/>
      <c r="L142" s="27"/>
      <c r="M142" s="27"/>
      <c r="N142" s="27"/>
      <c r="O142" s="27"/>
      <c r="P142" s="27"/>
      <c r="Q142" s="27"/>
      <c r="R142" s="27"/>
    </row>
    <row r="144" spans="1:18" ht="28.5" customHeight="1" x14ac:dyDescent="0.3">
      <c r="A144" s="786"/>
      <c r="B144" s="786"/>
      <c r="C144" s="786"/>
      <c r="D144" s="786"/>
      <c r="E144" s="786"/>
      <c r="F144" s="786"/>
      <c r="G144" s="786"/>
      <c r="H144" s="786"/>
      <c r="I144" s="786"/>
      <c r="J144" s="786"/>
    </row>
    <row r="201" customFormat="1" ht="15" customHeight="1" x14ac:dyDescent="0.3"/>
    <row r="210" customFormat="1" ht="18.75" customHeight="1" x14ac:dyDescent="0.3"/>
    <row r="211" customFormat="1" ht="18.75" customHeight="1" x14ac:dyDescent="0.3"/>
    <row r="212" customFormat="1" ht="18.75" customHeight="1" x14ac:dyDescent="0.3"/>
    <row r="213" customFormat="1" ht="18.75" customHeight="1" x14ac:dyDescent="0.3"/>
    <row r="214" customFormat="1" ht="18.75" customHeight="1" x14ac:dyDescent="0.3"/>
    <row r="215" customFormat="1" ht="18.75" customHeight="1" x14ac:dyDescent="0.3"/>
    <row r="216" customFormat="1" ht="18.75" customHeight="1" x14ac:dyDescent="0.3"/>
    <row r="217" customFormat="1" ht="18.75" customHeight="1" x14ac:dyDescent="0.3"/>
  </sheetData>
  <mergeCells count="137">
    <mergeCell ref="A129:B129"/>
    <mergeCell ref="A144:J144"/>
    <mergeCell ref="A117:B117"/>
    <mergeCell ref="A118:B118"/>
    <mergeCell ref="A119:B119"/>
    <mergeCell ref="A124:B124"/>
    <mergeCell ref="A125:B125"/>
    <mergeCell ref="A127:D127"/>
    <mergeCell ref="A111:B111"/>
    <mergeCell ref="A112:B112"/>
    <mergeCell ref="A113:B113"/>
    <mergeCell ref="A114:B114"/>
    <mergeCell ref="A115:B115"/>
    <mergeCell ref="A116:B116"/>
    <mergeCell ref="A109:B109"/>
    <mergeCell ref="A110:B110"/>
    <mergeCell ref="A93:E93"/>
    <mergeCell ref="A87:I87"/>
    <mergeCell ref="J87:L87"/>
    <mergeCell ref="A84:I84"/>
    <mergeCell ref="J84:L84"/>
    <mergeCell ref="A85:I85"/>
    <mergeCell ref="J85:L85"/>
    <mergeCell ref="A86:I86"/>
    <mergeCell ref="J86:L86"/>
    <mergeCell ref="D88:E88"/>
    <mergeCell ref="F88:G88"/>
    <mergeCell ref="A78:I78"/>
    <mergeCell ref="J78:L78"/>
    <mergeCell ref="A79:I81"/>
    <mergeCell ref="J79:L81"/>
    <mergeCell ref="A82:C83"/>
    <mergeCell ref="D82:E82"/>
    <mergeCell ref="F82:G82"/>
    <mergeCell ref="D83:E83"/>
    <mergeCell ref="F83:G83"/>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A47:B47"/>
    <mergeCell ref="L47:L48"/>
    <mergeCell ref="A48:B48"/>
    <mergeCell ref="A49:B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36:B36"/>
    <mergeCell ref="O36:P36"/>
    <mergeCell ref="A37:B37"/>
    <mergeCell ref="O37:P37"/>
    <mergeCell ref="A38:B38"/>
    <mergeCell ref="O38:P38"/>
    <mergeCell ref="A30:F30"/>
    <mergeCell ref="A31:F31"/>
    <mergeCell ref="A33:B33"/>
    <mergeCell ref="D33:I33"/>
    <mergeCell ref="A34:B34"/>
    <mergeCell ref="A35:B35"/>
    <mergeCell ref="A32:F32"/>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91" zoomScale="130" zoomScaleNormal="130" workbookViewId="0">
      <selection activeCell="E101" sqref="E101"/>
    </sheetView>
  </sheetViews>
  <sheetFormatPr baseColWidth="10" defaultRowHeight="14.4" x14ac:dyDescent="0.3"/>
  <cols>
    <col min="1" max="1" width="14.88671875" customWidth="1"/>
    <col min="2" max="2" width="13.33203125" customWidth="1"/>
    <col min="3" max="3" width="12.5546875" customWidth="1"/>
    <col min="4" max="4" width="16.109375" style="52"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bestFit="1"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0" hidden="1" customWidth="1"/>
    <col min="32" max="32" width="11.44140625" hidden="1" customWidth="1"/>
    <col min="33" max="33" width="0" hidden="1" customWidth="1"/>
  </cols>
  <sheetData>
    <row r="1" spans="1:16" ht="20.25" hidden="1" customHeight="1" x14ac:dyDescent="0.3">
      <c r="A1" t="s">
        <v>119</v>
      </c>
    </row>
    <row r="2" spans="1:16" s="65" customFormat="1" ht="26.25" hidden="1" customHeight="1" x14ac:dyDescent="0.2">
      <c r="A2" s="70" t="s">
        <v>89</v>
      </c>
      <c r="B2" s="70" t="s">
        <v>120</v>
      </c>
      <c r="C2" s="70" t="s">
        <v>121</v>
      </c>
      <c r="D2" s="70" t="s">
        <v>122</v>
      </c>
      <c r="E2" s="70" t="s">
        <v>123</v>
      </c>
      <c r="F2" s="70"/>
      <c r="G2" s="70"/>
      <c r="H2" s="70"/>
      <c r="I2" s="70"/>
      <c r="J2" s="70"/>
      <c r="K2" s="70" t="s">
        <v>124</v>
      </c>
      <c r="L2" s="70" t="s">
        <v>125</v>
      </c>
      <c r="M2" s="70" t="s">
        <v>126</v>
      </c>
      <c r="N2" s="70" t="s">
        <v>127</v>
      </c>
      <c r="O2" s="70" t="s">
        <v>128</v>
      </c>
      <c r="P2" s="70" t="s">
        <v>129</v>
      </c>
    </row>
    <row r="3" spans="1:16" s="58" customFormat="1" ht="20.25" hidden="1" customHeight="1" x14ac:dyDescent="0.25">
      <c r="A3" s="66" t="s">
        <v>108</v>
      </c>
      <c r="B3" s="71">
        <f>'[3]SUIVI RETRAITE '!B7</f>
        <v>4910.7999999999993</v>
      </c>
      <c r="C3" s="72">
        <f>'[3]SUIVI RETRAITE '!C7</f>
        <v>3428</v>
      </c>
      <c r="D3" s="73">
        <f>C3</f>
        <v>3428</v>
      </c>
      <c r="E3" s="73">
        <f>B3</f>
        <v>4910.7999999999993</v>
      </c>
      <c r="F3" s="73"/>
      <c r="G3" s="73"/>
      <c r="H3" s="73"/>
      <c r="I3" s="73"/>
      <c r="J3" s="73"/>
      <c r="K3" s="73">
        <f t="shared" ref="K3:K14" si="0">MIN(D3,E3)</f>
        <v>3428</v>
      </c>
      <c r="L3" s="73">
        <f>K3</f>
        <v>3428</v>
      </c>
      <c r="M3" s="73">
        <f>IF(E3&gt;D3,IF((E3-D3)&gt;3*D3,3*D3,E3-D3),0)</f>
        <v>1482.7999999999993</v>
      </c>
      <c r="N3" s="73">
        <f>M3</f>
        <v>1482.7999999999993</v>
      </c>
      <c r="O3" s="73">
        <f>IF(E3&gt;8*D3,7*D3,IF(E3&lt;D3,0,E3-D3))</f>
        <v>1482.7999999999993</v>
      </c>
      <c r="P3" s="73">
        <f>O3</f>
        <v>1482.7999999999993</v>
      </c>
    </row>
    <row r="4" spans="1:16" s="58" customFormat="1" ht="20.25" hidden="1" customHeight="1" x14ac:dyDescent="0.25">
      <c r="A4" s="66" t="s">
        <v>130</v>
      </c>
      <c r="B4" s="71">
        <f>'[3]SUIVI RETRAITE '!B8</f>
        <v>0</v>
      </c>
      <c r="C4" s="72">
        <f>'[3]SUIVI RETRAITE '!C8</f>
        <v>0</v>
      </c>
      <c r="D4" s="73">
        <f>D3+C4</f>
        <v>3428</v>
      </c>
      <c r="E4" s="73">
        <f>E3+B4</f>
        <v>4910.7999999999993</v>
      </c>
      <c r="F4" s="73"/>
      <c r="G4" s="73"/>
      <c r="H4" s="73"/>
      <c r="I4" s="73"/>
      <c r="J4" s="73"/>
      <c r="K4" s="73">
        <f t="shared" si="0"/>
        <v>3428</v>
      </c>
      <c r="L4" s="73">
        <f t="shared" ref="L4:L14" si="1">K4-K3</f>
        <v>0</v>
      </c>
      <c r="M4" s="73">
        <f t="shared" ref="M4:M14" si="2">IF(E4&gt;D4,IF((E4-D4)&gt;3*D4,3*D4,E4-D4),0)</f>
        <v>1482.7999999999993</v>
      </c>
      <c r="N4" s="73">
        <f t="shared" ref="N4:N14" si="3">M4-M3</f>
        <v>0</v>
      </c>
      <c r="O4" s="73">
        <f>IF(E4&gt;8*D4,7*D4,IF(E4&lt;D4,0,E4-D4))</f>
        <v>1482.7999999999993</v>
      </c>
      <c r="P4" s="73">
        <f t="shared" ref="P4:P14" si="4">O4-O3</f>
        <v>0</v>
      </c>
    </row>
    <row r="5" spans="1:16" s="58" customFormat="1" ht="20.25" hidden="1" customHeight="1" x14ac:dyDescent="0.25">
      <c r="A5" s="66" t="s">
        <v>109</v>
      </c>
      <c r="B5" s="71" t="e">
        <f>'[3]SUIVI RETRAITE '!B9</f>
        <v>#DIV/0!</v>
      </c>
      <c r="C5" s="72">
        <f>'[3]SUIVI RETRAITE '!C9</f>
        <v>0</v>
      </c>
      <c r="D5" s="73">
        <f>D4+C5</f>
        <v>3428</v>
      </c>
      <c r="E5" s="73" t="e">
        <f>E4+B5</f>
        <v>#DIV/0!</v>
      </c>
      <c r="F5" s="73"/>
      <c r="G5" s="73"/>
      <c r="H5" s="73"/>
      <c r="I5" s="73"/>
      <c r="J5" s="73"/>
      <c r="K5" s="73" t="e">
        <f t="shared" si="0"/>
        <v>#DIV/0!</v>
      </c>
      <c r="L5" s="73" t="e">
        <f t="shared" si="1"/>
        <v>#DIV/0!</v>
      </c>
      <c r="M5" s="73" t="e">
        <f t="shared" si="2"/>
        <v>#DIV/0!</v>
      </c>
      <c r="N5" s="73" t="e">
        <f t="shared" si="3"/>
        <v>#DIV/0!</v>
      </c>
      <c r="O5" s="73" t="e">
        <f t="shared" ref="O5:O14" si="5">IF(E5&gt;8*D5,7*D5,IF(E5&lt;D5,0,E5-D5))</f>
        <v>#DIV/0!</v>
      </c>
      <c r="P5" s="73" t="e">
        <f t="shared" si="4"/>
        <v>#DIV/0!</v>
      </c>
    </row>
    <row r="6" spans="1:16" s="58" customFormat="1" ht="20.25" hidden="1" customHeight="1" x14ac:dyDescent="0.25">
      <c r="A6" s="66" t="s">
        <v>131</v>
      </c>
      <c r="B6" s="71" t="e">
        <f>'[3]SUIVI RETRAITE '!B10</f>
        <v>#DIV/0!</v>
      </c>
      <c r="C6" s="72">
        <f>'[3]SUIVI RETRAITE '!C10</f>
        <v>0</v>
      </c>
      <c r="D6" s="73">
        <f>D5+C6</f>
        <v>3428</v>
      </c>
      <c r="E6" s="73" t="e">
        <f>E5+B6</f>
        <v>#DIV/0!</v>
      </c>
      <c r="F6" s="73"/>
      <c r="G6" s="73"/>
      <c r="H6" s="73"/>
      <c r="I6" s="73"/>
      <c r="J6" s="73"/>
      <c r="K6" s="73" t="e">
        <f t="shared" si="0"/>
        <v>#DIV/0!</v>
      </c>
      <c r="L6" s="73" t="e">
        <f t="shared" si="1"/>
        <v>#DIV/0!</v>
      </c>
      <c r="M6" s="73" t="e">
        <f t="shared" si="2"/>
        <v>#DIV/0!</v>
      </c>
      <c r="N6" s="73" t="e">
        <f t="shared" si="3"/>
        <v>#DIV/0!</v>
      </c>
      <c r="O6" s="73" t="e">
        <f t="shared" si="5"/>
        <v>#DIV/0!</v>
      </c>
      <c r="P6" s="73" t="e">
        <f t="shared" si="4"/>
        <v>#DIV/0!</v>
      </c>
    </row>
    <row r="7" spans="1:16" s="58" customFormat="1" ht="20.25" hidden="1" customHeight="1" x14ac:dyDescent="0.25">
      <c r="A7" s="66" t="s">
        <v>112</v>
      </c>
      <c r="B7" s="71" t="e">
        <f>'[3]SUIVI RETRAITE '!B11</f>
        <v>#DIV/0!</v>
      </c>
      <c r="C7" s="72">
        <f>'[3]SUIVI RETRAITE '!C11</f>
        <v>0</v>
      </c>
      <c r="D7" s="73">
        <f t="shared" ref="D7:D14" si="6">D6+C7</f>
        <v>3428</v>
      </c>
      <c r="E7" s="73" t="e">
        <f t="shared" ref="E7:E14" si="7">E6+B7</f>
        <v>#DIV/0!</v>
      </c>
      <c r="F7" s="73"/>
      <c r="G7" s="73"/>
      <c r="H7" s="73"/>
      <c r="I7" s="73"/>
      <c r="J7" s="73"/>
      <c r="K7" s="73" t="e">
        <f t="shared" si="0"/>
        <v>#DIV/0!</v>
      </c>
      <c r="L7" s="73" t="e">
        <f t="shared" si="1"/>
        <v>#DIV/0!</v>
      </c>
      <c r="M7" s="73" t="e">
        <f t="shared" si="2"/>
        <v>#DIV/0!</v>
      </c>
      <c r="N7" s="73" t="e">
        <f t="shared" si="3"/>
        <v>#DIV/0!</v>
      </c>
      <c r="O7" s="73" t="e">
        <f t="shared" si="5"/>
        <v>#DIV/0!</v>
      </c>
      <c r="P7" s="73" t="e">
        <f t="shared" si="4"/>
        <v>#DIV/0!</v>
      </c>
    </row>
    <row r="8" spans="1:16" s="58" customFormat="1" ht="20.25" hidden="1" customHeight="1" x14ac:dyDescent="0.25">
      <c r="A8" s="66" t="s">
        <v>110</v>
      </c>
      <c r="B8" s="71" t="e">
        <f>'[3]SUIVI RETRAITE '!B12</f>
        <v>#DIV/0!</v>
      </c>
      <c r="C8" s="72">
        <f>'[3]SUIVI RETRAITE '!C12</f>
        <v>0</v>
      </c>
      <c r="D8" s="72">
        <f t="shared" si="6"/>
        <v>3428</v>
      </c>
      <c r="E8" s="72" t="e">
        <f t="shared" si="7"/>
        <v>#DIV/0!</v>
      </c>
      <c r="F8" s="72"/>
      <c r="G8" s="72"/>
      <c r="H8" s="72"/>
      <c r="I8" s="72"/>
      <c r="J8" s="72"/>
      <c r="K8" s="73" t="e">
        <f t="shared" si="0"/>
        <v>#DIV/0!</v>
      </c>
      <c r="L8" s="73" t="e">
        <f t="shared" si="1"/>
        <v>#DIV/0!</v>
      </c>
      <c r="M8" s="73" t="e">
        <f t="shared" si="2"/>
        <v>#DIV/0!</v>
      </c>
      <c r="N8" s="73" t="e">
        <f t="shared" si="3"/>
        <v>#DIV/0!</v>
      </c>
      <c r="O8" s="73" t="e">
        <f t="shared" si="5"/>
        <v>#DIV/0!</v>
      </c>
      <c r="P8" s="73" t="e">
        <f t="shared" si="4"/>
        <v>#DIV/0!</v>
      </c>
    </row>
    <row r="9" spans="1:16" s="58" customFormat="1" ht="20.25" hidden="1" customHeight="1" x14ac:dyDescent="0.25">
      <c r="A9" s="66" t="s">
        <v>113</v>
      </c>
      <c r="B9" s="71" t="e">
        <f>'[3]SUIVI RETRAITE '!B13</f>
        <v>#DIV/0!</v>
      </c>
      <c r="C9" s="72">
        <f>'[3]SUIVI RETRAITE '!C13</f>
        <v>0</v>
      </c>
      <c r="D9" s="72">
        <f t="shared" si="6"/>
        <v>3428</v>
      </c>
      <c r="E9" s="72" t="e">
        <f t="shared" si="7"/>
        <v>#DIV/0!</v>
      </c>
      <c r="F9" s="72"/>
      <c r="G9" s="72"/>
      <c r="H9" s="72"/>
      <c r="I9" s="72"/>
      <c r="J9" s="72"/>
      <c r="K9" s="73" t="e">
        <f t="shared" si="0"/>
        <v>#DIV/0!</v>
      </c>
      <c r="L9" s="73" t="e">
        <f t="shared" si="1"/>
        <v>#DIV/0!</v>
      </c>
      <c r="M9" s="73" t="e">
        <f t="shared" si="2"/>
        <v>#DIV/0!</v>
      </c>
      <c r="N9" s="73" t="e">
        <f t="shared" si="3"/>
        <v>#DIV/0!</v>
      </c>
      <c r="O9" s="73" t="e">
        <f t="shared" si="5"/>
        <v>#DIV/0!</v>
      </c>
      <c r="P9" s="73" t="e">
        <f t="shared" si="4"/>
        <v>#DIV/0!</v>
      </c>
    </row>
    <row r="10" spans="1:16" s="58" customFormat="1" ht="20.25" hidden="1" customHeight="1" x14ac:dyDescent="0.25">
      <c r="A10" s="66" t="s">
        <v>114</v>
      </c>
      <c r="B10" s="71" t="e">
        <f>'[3]SUIVI RETRAITE '!B14</f>
        <v>#DIV/0!</v>
      </c>
      <c r="C10" s="72">
        <f>'[3]SUIVI RETRAITE '!C14</f>
        <v>0</v>
      </c>
      <c r="D10" s="72">
        <f t="shared" si="6"/>
        <v>3428</v>
      </c>
      <c r="E10" s="72" t="e">
        <f t="shared" si="7"/>
        <v>#DIV/0!</v>
      </c>
      <c r="F10" s="72"/>
      <c r="G10" s="72"/>
      <c r="H10" s="72"/>
      <c r="I10" s="72"/>
      <c r="J10" s="72"/>
      <c r="K10" s="73" t="e">
        <f t="shared" si="0"/>
        <v>#DIV/0!</v>
      </c>
      <c r="L10" s="73" t="e">
        <f t="shared" si="1"/>
        <v>#DIV/0!</v>
      </c>
      <c r="M10" s="73" t="e">
        <f t="shared" si="2"/>
        <v>#DIV/0!</v>
      </c>
      <c r="N10" s="73" t="e">
        <f t="shared" si="3"/>
        <v>#DIV/0!</v>
      </c>
      <c r="O10" s="73" t="e">
        <f t="shared" si="5"/>
        <v>#DIV/0!</v>
      </c>
      <c r="P10" s="73" t="e">
        <f t="shared" si="4"/>
        <v>#DIV/0!</v>
      </c>
    </row>
    <row r="11" spans="1:16" s="58" customFormat="1" ht="20.25" hidden="1" customHeight="1" x14ac:dyDescent="0.25">
      <c r="A11" s="66" t="s">
        <v>115</v>
      </c>
      <c r="B11" s="71" t="e">
        <f>'[3]SUIVI RETRAITE '!B15</f>
        <v>#DIV/0!</v>
      </c>
      <c r="C11" s="72">
        <f>'[3]SUIVI RETRAITE '!C15</f>
        <v>0</v>
      </c>
      <c r="D11" s="72">
        <f t="shared" si="6"/>
        <v>3428</v>
      </c>
      <c r="E11" s="72" t="e">
        <f t="shared" si="7"/>
        <v>#DIV/0!</v>
      </c>
      <c r="F11" s="72"/>
      <c r="G11" s="72"/>
      <c r="H11" s="72"/>
      <c r="I11" s="72"/>
      <c r="J11" s="72"/>
      <c r="K11" s="73" t="e">
        <f t="shared" si="0"/>
        <v>#DIV/0!</v>
      </c>
      <c r="L11" s="73" t="e">
        <f t="shared" si="1"/>
        <v>#DIV/0!</v>
      </c>
      <c r="M11" s="73" t="e">
        <f t="shared" si="2"/>
        <v>#DIV/0!</v>
      </c>
      <c r="N11" s="73" t="e">
        <f t="shared" si="3"/>
        <v>#DIV/0!</v>
      </c>
      <c r="O11" s="73" t="e">
        <f t="shared" si="5"/>
        <v>#DIV/0!</v>
      </c>
      <c r="P11" s="73" t="e">
        <f t="shared" si="4"/>
        <v>#DIV/0!</v>
      </c>
    </row>
    <row r="12" spans="1:16" s="58" customFormat="1" ht="20.25" hidden="1" customHeight="1" x14ac:dyDescent="0.25">
      <c r="A12" s="66" t="s">
        <v>111</v>
      </c>
      <c r="B12" s="71" t="e">
        <f>'[3]SUIVI RETRAITE '!B16</f>
        <v>#DIV/0!</v>
      </c>
      <c r="C12" s="72">
        <f>'[3]SUIVI RETRAITE '!C16</f>
        <v>0</v>
      </c>
      <c r="D12" s="72">
        <f t="shared" si="6"/>
        <v>3428</v>
      </c>
      <c r="E12" s="72" t="e">
        <f t="shared" si="7"/>
        <v>#DIV/0!</v>
      </c>
      <c r="F12" s="72"/>
      <c r="G12" s="72"/>
      <c r="H12" s="72"/>
      <c r="I12" s="72"/>
      <c r="J12" s="72"/>
      <c r="K12" s="73" t="e">
        <f t="shared" si="0"/>
        <v>#DIV/0!</v>
      </c>
      <c r="L12" s="73" t="e">
        <f t="shared" si="1"/>
        <v>#DIV/0!</v>
      </c>
      <c r="M12" s="73" t="e">
        <f t="shared" si="2"/>
        <v>#DIV/0!</v>
      </c>
      <c r="N12" s="73" t="e">
        <f t="shared" si="3"/>
        <v>#DIV/0!</v>
      </c>
      <c r="O12" s="73" t="e">
        <f t="shared" si="5"/>
        <v>#DIV/0!</v>
      </c>
      <c r="P12" s="73" t="e">
        <f t="shared" si="4"/>
        <v>#DIV/0!</v>
      </c>
    </row>
    <row r="13" spans="1:16" s="58" customFormat="1" ht="20.25" hidden="1" customHeight="1" x14ac:dyDescent="0.25">
      <c r="A13" s="66" t="s">
        <v>116</v>
      </c>
      <c r="B13" s="71" t="e">
        <f>'[3]SUIVI RETRAITE '!B17</f>
        <v>#DIV/0!</v>
      </c>
      <c r="C13" s="72">
        <f>'[3]SUIVI RETRAITE '!C17</f>
        <v>0</v>
      </c>
      <c r="D13" s="72">
        <f t="shared" si="6"/>
        <v>3428</v>
      </c>
      <c r="E13" s="72" t="e">
        <f t="shared" si="7"/>
        <v>#DIV/0!</v>
      </c>
      <c r="F13" s="72"/>
      <c r="G13" s="72"/>
      <c r="H13" s="72"/>
      <c r="I13" s="72"/>
      <c r="J13" s="72"/>
      <c r="K13" s="73" t="e">
        <f t="shared" si="0"/>
        <v>#DIV/0!</v>
      </c>
      <c r="L13" s="73" t="e">
        <f t="shared" si="1"/>
        <v>#DIV/0!</v>
      </c>
      <c r="M13" s="73" t="e">
        <f t="shared" si="2"/>
        <v>#DIV/0!</v>
      </c>
      <c r="N13" s="73" t="e">
        <f t="shared" si="3"/>
        <v>#DIV/0!</v>
      </c>
      <c r="O13" s="73" t="e">
        <f t="shared" si="5"/>
        <v>#DIV/0!</v>
      </c>
      <c r="P13" s="73" t="e">
        <f t="shared" si="4"/>
        <v>#DIV/0!</v>
      </c>
    </row>
    <row r="14" spans="1:16" s="58" customFormat="1" ht="20.25" hidden="1" customHeight="1" x14ac:dyDescent="0.25">
      <c r="A14" s="66" t="s">
        <v>117</v>
      </c>
      <c r="B14" s="71" t="e">
        <f>'[3]SUIVI RETRAITE '!B18</f>
        <v>#DIV/0!</v>
      </c>
      <c r="C14" s="72">
        <f>'[3]SUIVI RETRAITE '!C18</f>
        <v>0</v>
      </c>
      <c r="D14" s="72">
        <f t="shared" si="6"/>
        <v>3428</v>
      </c>
      <c r="E14" s="72" t="e">
        <f t="shared" si="7"/>
        <v>#DIV/0!</v>
      </c>
      <c r="F14" s="72"/>
      <c r="G14" s="72"/>
      <c r="H14" s="72"/>
      <c r="I14" s="72"/>
      <c r="J14" s="72"/>
      <c r="K14" s="73" t="e">
        <f t="shared" si="0"/>
        <v>#DIV/0!</v>
      </c>
      <c r="L14" s="73" t="e">
        <f t="shared" si="1"/>
        <v>#DIV/0!</v>
      </c>
      <c r="M14" s="73" t="e">
        <f t="shared" si="2"/>
        <v>#DIV/0!</v>
      </c>
      <c r="N14" s="73" t="e">
        <f t="shared" si="3"/>
        <v>#DIV/0!</v>
      </c>
      <c r="O14" s="73" t="e">
        <f t="shared" si="5"/>
        <v>#DIV/0!</v>
      </c>
      <c r="P14" s="73" t="e">
        <f t="shared" si="4"/>
        <v>#DIV/0!</v>
      </c>
    </row>
    <row r="15" spans="1:16" s="58" customFormat="1" ht="20.25" hidden="1" customHeight="1" x14ac:dyDescent="0.25">
      <c r="B15" s="74" t="e">
        <f>'[3]SUIVI RETRAITE '!B19</f>
        <v>#DIV/0!</v>
      </c>
      <c r="C15" s="75">
        <f>'[3]SUIVI RETRAITE '!C19</f>
        <v>0</v>
      </c>
      <c r="D15" s="60"/>
    </row>
    <row r="16" spans="1:16" ht="20.25" hidden="1" customHeight="1" x14ac:dyDescent="0.3"/>
    <row r="17" spans="1:18" ht="20.25" hidden="1" customHeight="1" x14ac:dyDescent="0.3"/>
    <row r="18" spans="1:18" ht="20.25" hidden="1" customHeight="1" x14ac:dyDescent="0.3">
      <c r="A18" t="s">
        <v>132</v>
      </c>
    </row>
    <row r="19" spans="1:18" s="58" customFormat="1" ht="20.25" hidden="1" customHeight="1" x14ac:dyDescent="0.25">
      <c r="A19" s="867" t="s">
        <v>133</v>
      </c>
      <c r="B19" s="867"/>
      <c r="C19" s="867"/>
      <c r="D19" s="867"/>
      <c r="E19" s="867"/>
      <c r="F19" s="867"/>
      <c r="G19" s="867"/>
      <c r="H19" s="867"/>
      <c r="I19" s="867"/>
      <c r="J19" s="867"/>
      <c r="K19" s="867"/>
      <c r="L19" s="867"/>
      <c r="M19" s="867"/>
      <c r="N19" s="875"/>
      <c r="O19" s="875"/>
      <c r="P19" s="875"/>
      <c r="Q19" s="875"/>
    </row>
    <row r="20" spans="1:18" s="58" customFormat="1" ht="12.75" customHeight="1" x14ac:dyDescent="0.25">
      <c r="A20" s="62"/>
      <c r="B20" s="181"/>
      <c r="C20" s="181"/>
      <c r="D20" s="181"/>
      <c r="E20" s="181"/>
      <c r="F20" s="181"/>
      <c r="G20" s="181"/>
      <c r="H20" s="181"/>
      <c r="I20" s="181"/>
      <c r="J20" s="62"/>
      <c r="K20" s="62"/>
      <c r="L20" s="62"/>
      <c r="M20" s="62"/>
      <c r="N20" s="180"/>
      <c r="O20" s="180"/>
      <c r="P20" s="180"/>
      <c r="Q20" s="180"/>
    </row>
    <row r="21" spans="1:18" s="58" customFormat="1" ht="25.5" customHeight="1" x14ac:dyDescent="0.25">
      <c r="B21" s="865" t="s">
        <v>200</v>
      </c>
      <c r="C21" s="865"/>
      <c r="D21" s="865"/>
      <c r="E21" s="865"/>
      <c r="F21" s="865"/>
      <c r="G21" s="865"/>
      <c r="H21" s="865"/>
      <c r="I21" s="865"/>
      <c r="J21" s="76"/>
      <c r="N21" s="876"/>
      <c r="O21" s="876"/>
      <c r="P21" s="876"/>
      <c r="Q21" s="876"/>
    </row>
    <row r="22" spans="1:18" s="58" customFormat="1" ht="20.25" hidden="1" customHeight="1" x14ac:dyDescent="0.25">
      <c r="A22" s="77" t="s">
        <v>134</v>
      </c>
      <c r="B22" s="77" t="s">
        <v>135</v>
      </c>
      <c r="C22" s="77" t="s">
        <v>136</v>
      </c>
      <c r="D22" s="77" t="s">
        <v>137</v>
      </c>
      <c r="E22" s="77" t="s">
        <v>138</v>
      </c>
      <c r="F22" s="77"/>
      <c r="G22" s="77"/>
      <c r="H22" s="77"/>
      <c r="I22" s="77"/>
      <c r="J22" s="77"/>
      <c r="K22" s="77" t="s">
        <v>139</v>
      </c>
      <c r="L22" s="77" t="s">
        <v>140</v>
      </c>
      <c r="M22" s="77" t="s">
        <v>141</v>
      </c>
      <c r="N22" s="77" t="s">
        <v>142</v>
      </c>
    </row>
    <row r="23" spans="1:18" s="79" customFormat="1" ht="20.25" hidden="1" customHeight="1" x14ac:dyDescent="0.2">
      <c r="A23" s="78" t="s">
        <v>89</v>
      </c>
      <c r="B23" s="78" t="s">
        <v>120</v>
      </c>
      <c r="C23" s="78" t="s">
        <v>121</v>
      </c>
      <c r="D23" s="78" t="s">
        <v>122</v>
      </c>
      <c r="E23" s="78" t="s">
        <v>123</v>
      </c>
      <c r="F23" s="78"/>
      <c r="G23" s="78"/>
      <c r="H23" s="78"/>
      <c r="I23" s="78"/>
      <c r="J23" s="78"/>
      <c r="K23" s="78" t="s">
        <v>143</v>
      </c>
      <c r="L23" s="78" t="s">
        <v>144</v>
      </c>
      <c r="M23" s="78" t="s">
        <v>128</v>
      </c>
      <c r="N23" s="78" t="s">
        <v>129</v>
      </c>
      <c r="R23" s="80"/>
    </row>
    <row r="24" spans="1:18" s="58" customFormat="1" ht="20.25" hidden="1" customHeight="1" x14ac:dyDescent="0.25">
      <c r="A24" s="81" t="s">
        <v>108</v>
      </c>
      <c r="B24" s="82">
        <f>'[3]SUIVI RETRAITE '!B7</f>
        <v>4910.7999999999993</v>
      </c>
      <c r="C24" s="83">
        <f>'[3]SUIVI RETRAITE '!C7</f>
        <v>3428</v>
      </c>
      <c r="D24" s="83">
        <f>C24</f>
        <v>3428</v>
      </c>
      <c r="E24" s="83">
        <f>B24</f>
        <v>4910.7999999999993</v>
      </c>
      <c r="F24" s="83"/>
      <c r="G24" s="83"/>
      <c r="H24" s="83"/>
      <c r="I24" s="83"/>
      <c r="J24" s="83"/>
      <c r="K24" s="84">
        <f>IF(E24&lt;D24,0,MIN(E24,D24))</f>
        <v>3428</v>
      </c>
      <c r="L24" s="83">
        <f>K24</f>
        <v>3428</v>
      </c>
      <c r="M24" s="84">
        <f>IF(E24&gt;8*D24,7*D24,IF(E24&lt;D24,0,E24-D24))</f>
        <v>1482.7999999999993</v>
      </c>
      <c r="N24" s="83">
        <f>M24</f>
        <v>1482.7999999999993</v>
      </c>
      <c r="R24" s="85"/>
    </row>
    <row r="25" spans="1:18" s="58" customFormat="1" ht="20.25" hidden="1" customHeight="1" x14ac:dyDescent="0.25">
      <c r="A25" s="81" t="s">
        <v>130</v>
      </c>
      <c r="B25" s="82">
        <f>'[3]SUIVI RETRAITE '!B8</f>
        <v>0</v>
      </c>
      <c r="C25" s="83">
        <f>'[3]SUIVI RETRAITE '!C8</f>
        <v>0</v>
      </c>
      <c r="D25" s="83">
        <f>D24+C25</f>
        <v>3428</v>
      </c>
      <c r="E25" s="83">
        <f>E24+B25</f>
        <v>4910.7999999999993</v>
      </c>
      <c r="F25" s="83"/>
      <c r="G25" s="83"/>
      <c r="H25" s="83"/>
      <c r="I25" s="83"/>
      <c r="J25" s="83"/>
      <c r="K25" s="83">
        <f t="shared" ref="K25:K35" si="8">IF(E25&lt;D25,0,MIN(E25,D25))</f>
        <v>3428</v>
      </c>
      <c r="L25" s="83">
        <f>K25-K24</f>
        <v>0</v>
      </c>
      <c r="M25" s="84">
        <f>IF(E25&gt;8*D25,7*D25,IF(E25&lt;D25,0,E25-D25))</f>
        <v>1482.7999999999993</v>
      </c>
      <c r="N25" s="83">
        <f>M25-M24</f>
        <v>0</v>
      </c>
      <c r="R25" s="85"/>
    </row>
    <row r="26" spans="1:18" s="58" customFormat="1" ht="20.25" hidden="1" customHeight="1" x14ac:dyDescent="0.25">
      <c r="A26" s="81" t="s">
        <v>109</v>
      </c>
      <c r="B26" s="82" t="e">
        <f>'[3]SUIVI RETRAITE '!B9</f>
        <v>#DIV/0!</v>
      </c>
      <c r="C26" s="83">
        <f>'[3]SUIVI RETRAITE '!C9</f>
        <v>0</v>
      </c>
      <c r="D26" s="83">
        <f>D25+C26</f>
        <v>3428</v>
      </c>
      <c r="E26" s="83" t="e">
        <f>E25+B26</f>
        <v>#DIV/0!</v>
      </c>
      <c r="F26" s="83"/>
      <c r="G26" s="83"/>
      <c r="H26" s="83"/>
      <c r="I26" s="83"/>
      <c r="J26" s="83"/>
      <c r="K26" s="83" t="e">
        <f t="shared" si="8"/>
        <v>#DIV/0!</v>
      </c>
      <c r="L26" s="83" t="e">
        <f>K26-K25</f>
        <v>#DIV/0!</v>
      </c>
      <c r="M26" s="84" t="e">
        <f t="shared" ref="M26:M35" si="9">IF(E26&gt;8*D26,7*D26,IF(E26&lt;D26,0,E26-D26))</f>
        <v>#DIV/0!</v>
      </c>
      <c r="N26" s="83" t="e">
        <f t="shared" ref="N26:N35" si="10">M26-M25</f>
        <v>#DIV/0!</v>
      </c>
      <c r="R26" s="85"/>
    </row>
    <row r="27" spans="1:18" s="58" customFormat="1" ht="20.25" hidden="1" customHeight="1" x14ac:dyDescent="0.25">
      <c r="A27" s="81" t="s">
        <v>131</v>
      </c>
      <c r="B27" s="82" t="e">
        <f>'[3]SUIVI RETRAITE '!B10</f>
        <v>#DIV/0!</v>
      </c>
      <c r="C27" s="83">
        <f>'[3]SUIVI RETRAITE '!C10</f>
        <v>0</v>
      </c>
      <c r="D27" s="83">
        <f>D26+C27</f>
        <v>3428</v>
      </c>
      <c r="E27" s="83" t="e">
        <f>E26+B27</f>
        <v>#DIV/0!</v>
      </c>
      <c r="F27" s="83"/>
      <c r="G27" s="83"/>
      <c r="H27" s="83"/>
      <c r="I27" s="83"/>
      <c r="J27" s="83"/>
      <c r="K27" s="83" t="e">
        <f t="shared" si="8"/>
        <v>#DIV/0!</v>
      </c>
      <c r="L27" s="83" t="e">
        <f t="shared" ref="L27:L35" si="11">K27-K26</f>
        <v>#DIV/0!</v>
      </c>
      <c r="M27" s="84" t="e">
        <f t="shared" si="9"/>
        <v>#DIV/0!</v>
      </c>
      <c r="N27" s="83" t="e">
        <f t="shared" si="10"/>
        <v>#DIV/0!</v>
      </c>
      <c r="R27" s="85"/>
    </row>
    <row r="28" spans="1:18" s="58" customFormat="1" ht="20.25" hidden="1" customHeight="1" x14ac:dyDescent="0.25">
      <c r="A28" s="81" t="s">
        <v>112</v>
      </c>
      <c r="B28" s="82" t="e">
        <f>'[3]SUIVI RETRAITE '!B11</f>
        <v>#DIV/0!</v>
      </c>
      <c r="C28" s="83">
        <f>'[3]SUIVI RETRAITE '!C11</f>
        <v>0</v>
      </c>
      <c r="D28" s="83">
        <f t="shared" ref="D28:D35" si="12">D27+C28</f>
        <v>3428</v>
      </c>
      <c r="E28" s="83" t="e">
        <f t="shared" ref="E28:E35" si="13">E27+B28</f>
        <v>#DIV/0!</v>
      </c>
      <c r="F28" s="83"/>
      <c r="G28" s="83"/>
      <c r="H28" s="83"/>
      <c r="I28" s="83"/>
      <c r="J28" s="83"/>
      <c r="K28" s="83" t="e">
        <f t="shared" si="8"/>
        <v>#DIV/0!</v>
      </c>
      <c r="L28" s="83" t="e">
        <f t="shared" si="11"/>
        <v>#DIV/0!</v>
      </c>
      <c r="M28" s="84" t="e">
        <f t="shared" si="9"/>
        <v>#DIV/0!</v>
      </c>
      <c r="N28" s="83" t="e">
        <f t="shared" si="10"/>
        <v>#DIV/0!</v>
      </c>
      <c r="R28" s="85"/>
    </row>
    <row r="29" spans="1:18" s="58" customFormat="1" ht="20.25" hidden="1" customHeight="1" x14ac:dyDescent="0.25">
      <c r="A29" s="81" t="s">
        <v>110</v>
      </c>
      <c r="B29" s="82" t="e">
        <f>'[3]SUIVI RETRAITE '!B12</f>
        <v>#DIV/0!</v>
      </c>
      <c r="C29" s="83">
        <f>'[3]SUIVI RETRAITE '!C12</f>
        <v>0</v>
      </c>
      <c r="D29" s="86">
        <f t="shared" si="12"/>
        <v>3428</v>
      </c>
      <c r="E29" s="86" t="e">
        <f t="shared" si="13"/>
        <v>#DIV/0!</v>
      </c>
      <c r="F29" s="86"/>
      <c r="G29" s="86"/>
      <c r="H29" s="86"/>
      <c r="I29" s="86"/>
      <c r="J29" s="86"/>
      <c r="K29" s="83" t="e">
        <f t="shared" si="8"/>
        <v>#DIV/0!</v>
      </c>
      <c r="L29" s="83" t="e">
        <f t="shared" si="11"/>
        <v>#DIV/0!</v>
      </c>
      <c r="M29" s="84" t="e">
        <f t="shared" si="9"/>
        <v>#DIV/0!</v>
      </c>
      <c r="N29" s="83" t="e">
        <f t="shared" si="10"/>
        <v>#DIV/0!</v>
      </c>
      <c r="R29" s="85"/>
    </row>
    <row r="30" spans="1:18" s="58" customFormat="1" ht="20.25" hidden="1" customHeight="1" x14ac:dyDescent="0.25">
      <c r="A30" s="81" t="s">
        <v>113</v>
      </c>
      <c r="B30" s="82" t="e">
        <f>'[3]SUIVI RETRAITE '!B13</f>
        <v>#DIV/0!</v>
      </c>
      <c r="C30" s="83">
        <f>'[3]SUIVI RETRAITE '!C13</f>
        <v>0</v>
      </c>
      <c r="D30" s="86">
        <f t="shared" si="12"/>
        <v>3428</v>
      </c>
      <c r="E30" s="86" t="e">
        <f t="shared" si="13"/>
        <v>#DIV/0!</v>
      </c>
      <c r="F30" s="86"/>
      <c r="G30" s="86"/>
      <c r="H30" s="86"/>
      <c r="I30" s="86"/>
      <c r="J30" s="86"/>
      <c r="K30" s="83" t="e">
        <f t="shared" si="8"/>
        <v>#DIV/0!</v>
      </c>
      <c r="L30" s="83" t="e">
        <f t="shared" si="11"/>
        <v>#DIV/0!</v>
      </c>
      <c r="M30" s="84" t="e">
        <f t="shared" si="9"/>
        <v>#DIV/0!</v>
      </c>
      <c r="N30" s="83" t="e">
        <f t="shared" si="10"/>
        <v>#DIV/0!</v>
      </c>
    </row>
    <row r="31" spans="1:18" s="58" customFormat="1" ht="20.25" hidden="1" customHeight="1" x14ac:dyDescent="0.25">
      <c r="A31" s="81" t="s">
        <v>114</v>
      </c>
      <c r="B31" s="82" t="e">
        <f>'[3]SUIVI RETRAITE '!B14</f>
        <v>#DIV/0!</v>
      </c>
      <c r="C31" s="83">
        <f>'[3]SUIVI RETRAITE '!C14</f>
        <v>0</v>
      </c>
      <c r="D31" s="86">
        <f t="shared" si="12"/>
        <v>3428</v>
      </c>
      <c r="E31" s="86" t="e">
        <f t="shared" si="13"/>
        <v>#DIV/0!</v>
      </c>
      <c r="F31" s="86"/>
      <c r="G31" s="86"/>
      <c r="H31" s="86"/>
      <c r="I31" s="86"/>
      <c r="J31" s="86"/>
      <c r="K31" s="83" t="e">
        <f t="shared" si="8"/>
        <v>#DIV/0!</v>
      </c>
      <c r="L31" s="83" t="e">
        <f t="shared" si="11"/>
        <v>#DIV/0!</v>
      </c>
      <c r="M31" s="84" t="e">
        <f t="shared" si="9"/>
        <v>#DIV/0!</v>
      </c>
      <c r="N31" s="83" t="e">
        <f t="shared" si="10"/>
        <v>#DIV/0!</v>
      </c>
    </row>
    <row r="32" spans="1:18" s="58" customFormat="1" ht="20.25" hidden="1" customHeight="1" x14ac:dyDescent="0.25">
      <c r="A32" s="81" t="s">
        <v>115</v>
      </c>
      <c r="B32" s="82" t="e">
        <f>'[3]SUIVI RETRAITE '!B15</f>
        <v>#DIV/0!</v>
      </c>
      <c r="C32" s="83">
        <f>'[3]SUIVI RETRAITE '!C15</f>
        <v>0</v>
      </c>
      <c r="D32" s="86">
        <f t="shared" si="12"/>
        <v>3428</v>
      </c>
      <c r="E32" s="86" t="e">
        <f t="shared" si="13"/>
        <v>#DIV/0!</v>
      </c>
      <c r="F32" s="86"/>
      <c r="G32" s="86"/>
      <c r="H32" s="86"/>
      <c r="I32" s="86"/>
      <c r="J32" s="86"/>
      <c r="K32" s="83" t="e">
        <f t="shared" si="8"/>
        <v>#DIV/0!</v>
      </c>
      <c r="L32" s="83" t="e">
        <f t="shared" si="11"/>
        <v>#DIV/0!</v>
      </c>
      <c r="M32" s="84" t="e">
        <f t="shared" si="9"/>
        <v>#DIV/0!</v>
      </c>
      <c r="N32" s="83" t="e">
        <f t="shared" si="10"/>
        <v>#DIV/0!</v>
      </c>
      <c r="R32" s="87"/>
    </row>
    <row r="33" spans="1:33" s="58" customFormat="1" ht="20.25" hidden="1" customHeight="1" x14ac:dyDescent="0.25">
      <c r="A33" s="81" t="s">
        <v>111</v>
      </c>
      <c r="B33" s="82" t="e">
        <f>'[3]SUIVI RETRAITE '!B16</f>
        <v>#DIV/0!</v>
      </c>
      <c r="C33" s="83">
        <f>'[3]SUIVI RETRAITE '!C16</f>
        <v>0</v>
      </c>
      <c r="D33" s="86">
        <f t="shared" si="12"/>
        <v>3428</v>
      </c>
      <c r="E33" s="86" t="e">
        <f t="shared" si="13"/>
        <v>#DIV/0!</v>
      </c>
      <c r="F33" s="86"/>
      <c r="G33" s="86"/>
      <c r="H33" s="86"/>
      <c r="I33" s="86"/>
      <c r="J33" s="86"/>
      <c r="K33" s="83" t="e">
        <f t="shared" si="8"/>
        <v>#DIV/0!</v>
      </c>
      <c r="L33" s="83" t="e">
        <f t="shared" si="11"/>
        <v>#DIV/0!</v>
      </c>
      <c r="M33" s="84" t="e">
        <f t="shared" si="9"/>
        <v>#DIV/0!</v>
      </c>
      <c r="N33" s="83" t="e">
        <f t="shared" si="10"/>
        <v>#DIV/0!</v>
      </c>
      <c r="R33" s="85"/>
    </row>
    <row r="34" spans="1:33" s="58" customFormat="1" ht="20.25" hidden="1" customHeight="1" x14ac:dyDescent="0.25">
      <c r="A34" s="81" t="s">
        <v>116</v>
      </c>
      <c r="B34" s="82" t="e">
        <f>'[3]SUIVI RETRAITE '!B17</f>
        <v>#DIV/0!</v>
      </c>
      <c r="C34" s="83">
        <f>'[3]SUIVI RETRAITE '!C17</f>
        <v>0</v>
      </c>
      <c r="D34" s="86">
        <f t="shared" si="12"/>
        <v>3428</v>
      </c>
      <c r="E34" s="86" t="e">
        <f t="shared" si="13"/>
        <v>#DIV/0!</v>
      </c>
      <c r="F34" s="86"/>
      <c r="G34" s="86"/>
      <c r="H34" s="86"/>
      <c r="I34" s="86"/>
      <c r="J34" s="86"/>
      <c r="K34" s="83" t="e">
        <f t="shared" si="8"/>
        <v>#DIV/0!</v>
      </c>
      <c r="L34" s="83" t="e">
        <f t="shared" si="11"/>
        <v>#DIV/0!</v>
      </c>
      <c r="M34" s="84" t="e">
        <f t="shared" si="9"/>
        <v>#DIV/0!</v>
      </c>
      <c r="N34" s="83" t="e">
        <f t="shared" si="10"/>
        <v>#DIV/0!</v>
      </c>
      <c r="R34" s="85"/>
    </row>
    <row r="35" spans="1:33" s="58" customFormat="1" ht="20.25" hidden="1" customHeight="1" x14ac:dyDescent="0.25">
      <c r="A35" s="81" t="s">
        <v>117</v>
      </c>
      <c r="B35" s="82" t="e">
        <f>'[3]SUIVI RETRAITE '!B18</f>
        <v>#DIV/0!</v>
      </c>
      <c r="C35" s="83">
        <f>'[3]SUIVI RETRAITE '!C18</f>
        <v>0</v>
      </c>
      <c r="D35" s="86">
        <f t="shared" si="12"/>
        <v>3428</v>
      </c>
      <c r="E35" s="86" t="e">
        <f t="shared" si="13"/>
        <v>#DIV/0!</v>
      </c>
      <c r="F35" s="86"/>
      <c r="G35" s="86"/>
      <c r="H35" s="86"/>
      <c r="I35" s="86"/>
      <c r="J35" s="86"/>
      <c r="K35" s="83" t="e">
        <f t="shared" si="8"/>
        <v>#DIV/0!</v>
      </c>
      <c r="L35" s="83" t="e">
        <f t="shared" si="11"/>
        <v>#DIV/0!</v>
      </c>
      <c r="M35" s="84" t="e">
        <f t="shared" si="9"/>
        <v>#DIV/0!</v>
      </c>
      <c r="N35" s="83" t="e">
        <f t="shared" si="10"/>
        <v>#DIV/0!</v>
      </c>
      <c r="R35" s="85"/>
    </row>
    <row r="36" spans="1:33" s="58" customFormat="1" ht="20.25" hidden="1" customHeight="1" x14ac:dyDescent="0.25">
      <c r="A36" s="88"/>
      <c r="B36" s="436" t="e">
        <f>'[3]SUIVI RETRAITE '!B19</f>
        <v>#DIV/0!</v>
      </c>
      <c r="C36" s="437">
        <f>'[3]SUIVI RETRAITE '!C19</f>
        <v>0</v>
      </c>
      <c r="D36" s="89"/>
      <c r="E36" s="89"/>
      <c r="F36" s="89"/>
      <c r="G36" s="89"/>
      <c r="H36" s="89"/>
      <c r="I36" s="89"/>
      <c r="J36" s="89"/>
      <c r="K36" s="89"/>
      <c r="L36" s="89"/>
      <c r="M36" s="90"/>
      <c r="N36" s="89"/>
      <c r="R36" s="85"/>
    </row>
    <row r="37" spans="1:33" s="58" customFormat="1" ht="20.25" customHeight="1" x14ac:dyDescent="0.25">
      <c r="A37" s="440"/>
      <c r="B37" s="440"/>
      <c r="C37" s="91"/>
      <c r="D37" s="91"/>
      <c r="E37" s="91"/>
      <c r="F37" s="91"/>
      <c r="G37" s="89"/>
      <c r="H37" s="89"/>
      <c r="I37" s="89"/>
      <c r="J37" s="89"/>
      <c r="K37" s="89"/>
      <c r="L37" s="89"/>
      <c r="M37" s="90"/>
      <c r="N37" s="89"/>
      <c r="R37" s="85"/>
    </row>
    <row r="38" spans="1:33" s="58" customFormat="1" ht="20.25" customHeight="1" x14ac:dyDescent="0.25">
      <c r="A38" s="441"/>
      <c r="B38" s="880" t="s">
        <v>119</v>
      </c>
      <c r="C38" s="881"/>
      <c r="D38" s="442"/>
      <c r="E38" s="879" t="s">
        <v>198</v>
      </c>
      <c r="F38" s="879"/>
      <c r="G38" s="876"/>
      <c r="H38" s="876"/>
      <c r="I38" s="876"/>
      <c r="J38" s="876"/>
      <c r="K38" s="876"/>
      <c r="L38" s="89"/>
      <c r="M38" s="90"/>
      <c r="N38" s="89"/>
      <c r="R38" s="85"/>
    </row>
    <row r="39" spans="1:33" ht="30" customHeight="1" x14ac:dyDescent="0.3">
      <c r="A39" s="441"/>
      <c r="B39" s="443"/>
      <c r="D39" s="93" t="s">
        <v>103</v>
      </c>
      <c r="E39" s="93" t="s">
        <v>150</v>
      </c>
      <c r="F39" s="94" t="s">
        <v>151</v>
      </c>
      <c r="G39" s="177"/>
      <c r="H39" s="161"/>
      <c r="I39" s="161"/>
      <c r="J39" s="161"/>
      <c r="L39" s="174" t="s">
        <v>150</v>
      </c>
      <c r="M39" s="94" t="s">
        <v>151</v>
      </c>
      <c r="N39" s="93" t="s">
        <v>150</v>
      </c>
      <c r="O39" s="94" t="s">
        <v>151</v>
      </c>
      <c r="P39" s="93" t="s">
        <v>150</v>
      </c>
      <c r="Q39" s="94" t="s">
        <v>151</v>
      </c>
      <c r="R39" s="93" t="s">
        <v>150</v>
      </c>
      <c r="S39" s="94" t="s">
        <v>151</v>
      </c>
      <c r="T39" s="93" t="s">
        <v>150</v>
      </c>
      <c r="U39" s="94" t="s">
        <v>151</v>
      </c>
      <c r="V39" s="93" t="s">
        <v>150</v>
      </c>
      <c r="W39" s="94" t="s">
        <v>151</v>
      </c>
      <c r="X39" s="93" t="s">
        <v>150</v>
      </c>
      <c r="Y39" s="94" t="s">
        <v>151</v>
      </c>
      <c r="Z39" s="93" t="s">
        <v>150</v>
      </c>
      <c r="AA39" s="94" t="s">
        <v>151</v>
      </c>
      <c r="AB39" s="93" t="s">
        <v>150</v>
      </c>
      <c r="AC39" s="94" t="s">
        <v>151</v>
      </c>
      <c r="AD39" s="93" t="s">
        <v>150</v>
      </c>
      <c r="AE39" s="94" t="s">
        <v>151</v>
      </c>
      <c r="AF39" s="93" t="s">
        <v>150</v>
      </c>
      <c r="AG39" s="94" t="s">
        <v>151</v>
      </c>
    </row>
    <row r="40" spans="1:33" ht="20.25" customHeight="1" x14ac:dyDescent="0.3">
      <c r="A40" s="441"/>
      <c r="B40" s="878" t="s">
        <v>39</v>
      </c>
      <c r="C40" s="837"/>
      <c r="D40" s="435">
        <f>'BP FORMAT JUILLET 2023'!D51</f>
        <v>6.9000000000000006E-2</v>
      </c>
      <c r="E40" s="96">
        <f>'BP FORMAT JUILLET 2023'!C51</f>
        <v>0</v>
      </c>
      <c r="F40" s="97">
        <f>ROUND(E40*D40,2)</f>
        <v>0</v>
      </c>
      <c r="G40" s="178"/>
      <c r="H40" s="162"/>
      <c r="I40" s="162"/>
      <c r="J40" s="162"/>
      <c r="L40" s="175">
        <f>L4</f>
        <v>0</v>
      </c>
      <c r="M40" s="97">
        <f>ROUND(L40*D40/100,2)</f>
        <v>0</v>
      </c>
      <c r="N40" s="97" t="e">
        <f>L5</f>
        <v>#DIV/0!</v>
      </c>
      <c r="O40" s="97" t="e">
        <f>ROUND(N40*D40/100,2)</f>
        <v>#DIV/0!</v>
      </c>
      <c r="P40" s="97" t="e">
        <f>L6</f>
        <v>#DIV/0!</v>
      </c>
      <c r="Q40" s="97" t="e">
        <f>ROUND(P40*D40/100,2)</f>
        <v>#DIV/0!</v>
      </c>
      <c r="R40" s="97" t="e">
        <f>L7</f>
        <v>#DIV/0!</v>
      </c>
      <c r="S40" s="97" t="e">
        <f>ROUND(R40*D40/100,2)</f>
        <v>#DIV/0!</v>
      </c>
      <c r="T40" s="97" t="e">
        <f>+L8</f>
        <v>#DIV/0!</v>
      </c>
      <c r="U40" s="97" t="e">
        <f>+ROUND(T40*D40/100,2)</f>
        <v>#DIV/0!</v>
      </c>
      <c r="V40" s="98" t="e">
        <f>L9</f>
        <v>#DIV/0!</v>
      </c>
      <c r="W40" s="99" t="e">
        <f>ROUND(V40*D40/100,2)</f>
        <v>#DIV/0!</v>
      </c>
      <c r="X40" s="98" t="e">
        <f>L10</f>
        <v>#DIV/0!</v>
      </c>
      <c r="Y40" s="99" t="e">
        <f>ROUND(X40*D40/100,2)</f>
        <v>#DIV/0!</v>
      </c>
      <c r="Z40" s="98" t="e">
        <f>L11</f>
        <v>#DIV/0!</v>
      </c>
      <c r="AA40" s="99" t="e">
        <f>ROUND(Z40*D40/100,2)</f>
        <v>#DIV/0!</v>
      </c>
      <c r="AB40" s="98" t="e">
        <f>L12</f>
        <v>#DIV/0!</v>
      </c>
      <c r="AC40" s="100" t="e">
        <f>ROUND(AB40*D40/100,2)</f>
        <v>#DIV/0!</v>
      </c>
      <c r="AD40" s="98" t="e">
        <f>L13</f>
        <v>#DIV/0!</v>
      </c>
      <c r="AE40" s="100" t="e">
        <f>ROUND(AD40*D40/100,2)</f>
        <v>#DIV/0!</v>
      </c>
      <c r="AF40" s="98" t="e">
        <f>L14</f>
        <v>#DIV/0!</v>
      </c>
      <c r="AG40" s="100" t="e">
        <f>ROUND(AF40*D40/100,2)</f>
        <v>#DIV/0!</v>
      </c>
    </row>
    <row r="41" spans="1:33" ht="20.25" customHeight="1" x14ac:dyDescent="0.3">
      <c r="A41" s="441"/>
      <c r="B41" s="878" t="s">
        <v>40</v>
      </c>
      <c r="C41" s="837"/>
      <c r="D41" s="435">
        <f>'BP FORMAT JUILLET 2023'!D52</f>
        <v>4.0000000000000001E-3</v>
      </c>
      <c r="E41" s="96">
        <f>'BP FORMAT JUILLET 2023'!C52</f>
        <v>0</v>
      </c>
      <c r="F41" s="97">
        <f t="shared" ref="F41:F47" si="14">ROUND(E41*D41,2)</f>
        <v>0</v>
      </c>
      <c r="G41" s="178"/>
      <c r="H41" s="162"/>
      <c r="I41" s="162"/>
      <c r="J41" s="162"/>
      <c r="L41" s="175">
        <f>B4</f>
        <v>0</v>
      </c>
      <c r="M41" s="97">
        <f t="shared" ref="M41:M48" si="15">ROUND(L41*D41/100,2)</f>
        <v>0</v>
      </c>
      <c r="N41" s="97" t="e">
        <f>B5</f>
        <v>#DIV/0!</v>
      </c>
      <c r="O41" s="97" t="e">
        <f t="shared" ref="O41:O48" si="16">ROUND(N41*D41/100,2)</f>
        <v>#DIV/0!</v>
      </c>
      <c r="P41" s="97" t="e">
        <f>B6</f>
        <v>#DIV/0!</v>
      </c>
      <c r="Q41" s="97" t="e">
        <f t="shared" ref="Q41:Q48" si="17">ROUND(P41*D41/100,2)</f>
        <v>#DIV/0!</v>
      </c>
      <c r="R41" s="97" t="e">
        <f>B7</f>
        <v>#DIV/0!</v>
      </c>
      <c r="S41" s="97" t="e">
        <f t="shared" ref="S41:S46" si="18">ROUND(R41*D41/100,2)</f>
        <v>#DIV/0!</v>
      </c>
      <c r="T41" s="97" t="e">
        <f>E8</f>
        <v>#DIV/0!</v>
      </c>
      <c r="U41" s="97" t="e">
        <f>ROUND(T41*D41/100,2)</f>
        <v>#DIV/0!</v>
      </c>
      <c r="V41" s="101" t="e">
        <f>E9</f>
        <v>#DIV/0!</v>
      </c>
      <c r="W41" s="100" t="e">
        <f>ROUND(V41*D41/100,2)</f>
        <v>#DIV/0!</v>
      </c>
      <c r="X41" s="98" t="e">
        <f>E10</f>
        <v>#DIV/0!</v>
      </c>
      <c r="Y41" s="100" t="e">
        <f>ROUND(X41*D41/100,2)</f>
        <v>#DIV/0!</v>
      </c>
      <c r="Z41" s="98" t="e">
        <f>E11</f>
        <v>#DIV/0!</v>
      </c>
      <c r="AA41" s="100" t="e">
        <f>ROUND(Z41*D41/100,2)</f>
        <v>#DIV/0!</v>
      </c>
      <c r="AB41" s="98" t="e">
        <f>E12</f>
        <v>#DIV/0!</v>
      </c>
      <c r="AC41" s="100" t="e">
        <f>ROUND(AB41*D41/100,2)</f>
        <v>#DIV/0!</v>
      </c>
      <c r="AD41" s="98" t="e">
        <f>E13</f>
        <v>#DIV/0!</v>
      </c>
      <c r="AE41" s="100" t="e">
        <f>ROUND(AD41*D41/100,2)</f>
        <v>#DIV/0!</v>
      </c>
      <c r="AF41" s="98" t="e">
        <f>E14</f>
        <v>#DIV/0!</v>
      </c>
      <c r="AG41" s="100" t="e">
        <f>ROUND(AF41*D41/100,2)</f>
        <v>#DIV/0!</v>
      </c>
    </row>
    <row r="42" spans="1:33" ht="20.25" customHeight="1" x14ac:dyDescent="0.3">
      <c r="A42" s="441"/>
      <c r="B42" s="878" t="s">
        <v>41</v>
      </c>
      <c r="C42" s="837"/>
      <c r="D42" s="435">
        <f>'BP FORMAT JUILLET 2023'!D53</f>
        <v>4.0099999999999997E-2</v>
      </c>
      <c r="E42" s="96">
        <f>'BP FORMAT JUILLET 2023'!C53</f>
        <v>0</v>
      </c>
      <c r="F42" s="97">
        <f t="shared" si="14"/>
        <v>0</v>
      </c>
      <c r="G42" s="178"/>
      <c r="H42" s="162"/>
      <c r="I42" s="162"/>
      <c r="J42" s="162"/>
      <c r="L42" s="175">
        <f>L4</f>
        <v>0</v>
      </c>
      <c r="M42" s="97">
        <f t="shared" si="15"/>
        <v>0</v>
      </c>
      <c r="N42" s="97" t="e">
        <f>L5</f>
        <v>#DIV/0!</v>
      </c>
      <c r="O42" s="97" t="e">
        <f t="shared" si="16"/>
        <v>#DIV/0!</v>
      </c>
      <c r="P42" s="97" t="e">
        <f>P40</f>
        <v>#DIV/0!</v>
      </c>
      <c r="Q42" s="97" t="e">
        <f t="shared" si="17"/>
        <v>#DIV/0!</v>
      </c>
      <c r="R42" s="97" t="e">
        <f>R40</f>
        <v>#DIV/0!</v>
      </c>
      <c r="S42" s="97" t="e">
        <f t="shared" si="18"/>
        <v>#DIV/0!</v>
      </c>
      <c r="T42" s="97" t="e">
        <f>T40</f>
        <v>#DIV/0!</v>
      </c>
      <c r="U42" s="97" t="e">
        <f t="shared" ref="U42:U47" si="19">ROUND(T42*D42/100,2)</f>
        <v>#DIV/0!</v>
      </c>
      <c r="V42" s="98" t="e">
        <f>V40</f>
        <v>#DIV/0!</v>
      </c>
      <c r="W42" s="99" t="e">
        <f>ROUND(V42*D42/100,2)</f>
        <v>#DIV/0!</v>
      </c>
      <c r="X42" s="98" t="e">
        <f>X40</f>
        <v>#DIV/0!</v>
      </c>
      <c r="Y42" s="100" t="e">
        <f>ROUND(X42*D42/100,2)</f>
        <v>#DIV/0!</v>
      </c>
      <c r="Z42" s="98" t="e">
        <f>Z40</f>
        <v>#DIV/0!</v>
      </c>
      <c r="AA42" s="100" t="e">
        <f>ROUND(Z42*D42/100,2)</f>
        <v>#DIV/0!</v>
      </c>
      <c r="AB42" s="98" t="e">
        <f>AB40</f>
        <v>#DIV/0!</v>
      </c>
      <c r="AC42" s="100" t="e">
        <f>ROUND(AB42*D42/100,2)</f>
        <v>#DIV/0!</v>
      </c>
      <c r="AD42" s="98" t="e">
        <f>AD40</f>
        <v>#DIV/0!</v>
      </c>
      <c r="AE42" s="100" t="e">
        <f>ROUND(AD42*D42/100,2)</f>
        <v>#DIV/0!</v>
      </c>
      <c r="AF42" s="98" t="e">
        <f>AF40</f>
        <v>#DIV/0!</v>
      </c>
      <c r="AG42" s="100" t="e">
        <f>ROUND(AF42*D42/100,2)</f>
        <v>#DIV/0!</v>
      </c>
    </row>
    <row r="43" spans="1:33" ht="20.25" customHeight="1" x14ac:dyDescent="0.3">
      <c r="A43" s="441"/>
      <c r="B43" s="878" t="s">
        <v>42</v>
      </c>
      <c r="C43" s="837"/>
      <c r="D43" s="435">
        <f>'BP FORMAT JUILLET 2023'!D54</f>
        <v>0</v>
      </c>
      <c r="E43" s="96">
        <f>'BP FORMAT JUILLET 2023'!C54</f>
        <v>0</v>
      </c>
      <c r="F43" s="97">
        <f t="shared" si="14"/>
        <v>0</v>
      </c>
      <c r="G43" s="178"/>
      <c r="H43" s="162"/>
      <c r="I43" s="162"/>
      <c r="J43" s="162"/>
      <c r="L43" s="175">
        <f>P4</f>
        <v>0</v>
      </c>
      <c r="M43" s="97">
        <f>ROUND(L43*D43/100,2)</f>
        <v>0</v>
      </c>
      <c r="N43" s="97" t="e">
        <f>P5</f>
        <v>#DIV/0!</v>
      </c>
      <c r="O43" s="97" t="e">
        <f t="shared" si="16"/>
        <v>#DIV/0!</v>
      </c>
      <c r="P43" s="97" t="e">
        <f>P6</f>
        <v>#DIV/0!</v>
      </c>
      <c r="Q43" s="97" t="e">
        <f t="shared" si="17"/>
        <v>#DIV/0!</v>
      </c>
      <c r="R43" s="97" t="e">
        <f>P7</f>
        <v>#DIV/0!</v>
      </c>
      <c r="S43" s="97" t="e">
        <f t="shared" si="18"/>
        <v>#DIV/0!</v>
      </c>
      <c r="T43" s="97" t="e">
        <f>P8</f>
        <v>#DIV/0!</v>
      </c>
      <c r="U43" s="97" t="e">
        <f t="shared" si="19"/>
        <v>#DIV/0!</v>
      </c>
      <c r="V43" s="98" t="e">
        <f>P9</f>
        <v>#DIV/0!</v>
      </c>
      <c r="W43" s="100" t="e">
        <f>ROUND(V43*D43/100,2)</f>
        <v>#DIV/0!</v>
      </c>
      <c r="X43" s="98" t="e">
        <f>P10</f>
        <v>#DIV/0!</v>
      </c>
      <c r="Y43" s="100" t="e">
        <f>ROUND(X43*D43/100,2)</f>
        <v>#DIV/0!</v>
      </c>
      <c r="Z43" s="98" t="e">
        <f>P11</f>
        <v>#DIV/0!</v>
      </c>
      <c r="AA43" s="100" t="e">
        <f>ROUND(Z43*D43/100,2)</f>
        <v>#DIV/0!</v>
      </c>
      <c r="AB43" s="98" t="e">
        <f>P12</f>
        <v>#DIV/0!</v>
      </c>
      <c r="AC43" s="100" t="e">
        <f>ROUND(AB43*D43/100,2)</f>
        <v>#DIV/0!</v>
      </c>
      <c r="AD43" s="98" t="e">
        <f>P13</f>
        <v>#DIV/0!</v>
      </c>
      <c r="AE43" s="100" t="e">
        <f>ROUND(AD43*D43/100,2)</f>
        <v>#DIV/0!</v>
      </c>
      <c r="AF43" s="98" t="e">
        <f>P14</f>
        <v>#DIV/0!</v>
      </c>
      <c r="AG43" s="100" t="e">
        <f>ROUND(AF43*D43/100,2)</f>
        <v>#DIV/0!</v>
      </c>
    </row>
    <row r="44" spans="1:33" ht="21.75" hidden="1" customHeight="1" x14ac:dyDescent="0.3">
      <c r="A44" s="441"/>
      <c r="B44" s="878"/>
      <c r="C44" s="837"/>
      <c r="D44" s="95"/>
      <c r="E44" s="96"/>
      <c r="F44" s="97">
        <f t="shared" si="14"/>
        <v>0</v>
      </c>
      <c r="G44" s="178"/>
      <c r="H44" s="162"/>
      <c r="I44" s="162"/>
      <c r="J44" s="162"/>
      <c r="L44" s="175">
        <f>L42</f>
        <v>0</v>
      </c>
      <c r="M44" s="97">
        <f t="shared" si="15"/>
        <v>0</v>
      </c>
      <c r="N44" s="97" t="e">
        <f>N42</f>
        <v>#DIV/0!</v>
      </c>
      <c r="O44" s="97" t="e">
        <f t="shared" si="16"/>
        <v>#DIV/0!</v>
      </c>
      <c r="P44" s="97" t="e">
        <f>P42</f>
        <v>#DIV/0!</v>
      </c>
      <c r="Q44" s="97" t="e">
        <f t="shared" si="17"/>
        <v>#DIV/0!</v>
      </c>
      <c r="R44" s="97" t="e">
        <f>R42</f>
        <v>#DIV/0!</v>
      </c>
      <c r="S44" s="97" t="e">
        <f t="shared" si="18"/>
        <v>#DIV/0!</v>
      </c>
      <c r="T44" s="97" t="e">
        <f>T42</f>
        <v>#DIV/0!</v>
      </c>
      <c r="U44" s="97" t="e">
        <f t="shared" si="19"/>
        <v>#DIV/0!</v>
      </c>
      <c r="V44" s="98" t="e">
        <f>V42</f>
        <v>#DIV/0!</v>
      </c>
      <c r="W44" s="100" t="e">
        <f>ROUND(V44*D44/100,2)</f>
        <v>#DIV/0!</v>
      </c>
      <c r="X44" s="98" t="e">
        <f>+X42</f>
        <v>#DIV/0!</v>
      </c>
      <c r="Y44" s="100" t="e">
        <f>ROUND($D$44*X44/100,2)</f>
        <v>#DIV/0!</v>
      </c>
      <c r="Z44" s="98" t="e">
        <f>+Z42</f>
        <v>#DIV/0!</v>
      </c>
      <c r="AA44" s="100" t="e">
        <f>ROUND($D$44*Z44/100,2)</f>
        <v>#DIV/0!</v>
      </c>
      <c r="AB44" s="98" t="e">
        <f>+AB42</f>
        <v>#DIV/0!</v>
      </c>
      <c r="AC44" s="100" t="e">
        <f>ROUND($D$44*AB44/100,2)</f>
        <v>#DIV/0!</v>
      </c>
      <c r="AD44" s="98" t="e">
        <f>+AD42</f>
        <v>#DIV/0!</v>
      </c>
      <c r="AE44" s="100" t="e">
        <f>ROUND($D$44*AD44/100,2)</f>
        <v>#DIV/0!</v>
      </c>
      <c r="AF44" s="98" t="e">
        <f>+AF42</f>
        <v>#DIV/0!</v>
      </c>
      <c r="AG44" s="100" t="e">
        <f>ROUND($D$44*AF44/100,2)</f>
        <v>#DIV/0!</v>
      </c>
    </row>
    <row r="45" spans="1:33" ht="21.75" hidden="1" customHeight="1" x14ac:dyDescent="0.3">
      <c r="A45" s="441"/>
      <c r="B45" s="878"/>
      <c r="C45" s="837"/>
      <c r="D45" s="95"/>
      <c r="E45" s="96"/>
      <c r="F45" s="97">
        <f t="shared" si="14"/>
        <v>0</v>
      </c>
      <c r="G45" s="178"/>
      <c r="H45" s="162"/>
      <c r="I45" s="162"/>
      <c r="J45" s="162"/>
      <c r="L45" s="175">
        <f>L43</f>
        <v>0</v>
      </c>
      <c r="M45" s="97">
        <f t="shared" si="15"/>
        <v>0</v>
      </c>
      <c r="N45" s="97" t="e">
        <f>N43</f>
        <v>#DIV/0!</v>
      </c>
      <c r="O45" s="97" t="e">
        <f t="shared" si="16"/>
        <v>#DIV/0!</v>
      </c>
      <c r="P45" s="97" t="e">
        <f>P43</f>
        <v>#DIV/0!</v>
      </c>
      <c r="Q45" s="97" t="e">
        <f t="shared" si="17"/>
        <v>#DIV/0!</v>
      </c>
      <c r="R45" s="97" t="e">
        <f>R43</f>
        <v>#DIV/0!</v>
      </c>
      <c r="S45" s="97" t="e">
        <f t="shared" si="18"/>
        <v>#DIV/0!</v>
      </c>
      <c r="T45" s="97" t="e">
        <f>T43</f>
        <v>#DIV/0!</v>
      </c>
      <c r="U45" s="97" t="e">
        <f t="shared" si="19"/>
        <v>#DIV/0!</v>
      </c>
      <c r="V45" s="98" t="e">
        <f>V43</f>
        <v>#DIV/0!</v>
      </c>
      <c r="W45" s="100" t="e">
        <f>ROUND($D$45*V45/100,2)</f>
        <v>#DIV/0!</v>
      </c>
      <c r="X45" s="98" t="e">
        <f>X43</f>
        <v>#DIV/0!</v>
      </c>
      <c r="Y45" s="100" t="e">
        <f>ROUND($D$45*X45/100,2)</f>
        <v>#DIV/0!</v>
      </c>
      <c r="Z45" s="98" t="e">
        <f>Z43</f>
        <v>#DIV/0!</v>
      </c>
      <c r="AA45" s="100" t="e">
        <f>ROUND($D$45*Z45/100,2)</f>
        <v>#DIV/0!</v>
      </c>
      <c r="AB45" s="98" t="e">
        <f>AB43</f>
        <v>#DIV/0!</v>
      </c>
      <c r="AC45" s="100" t="e">
        <f>ROUND($D$45*AB45/100,2)</f>
        <v>#DIV/0!</v>
      </c>
      <c r="AD45" s="98" t="e">
        <f>AD43</f>
        <v>#DIV/0!</v>
      </c>
      <c r="AE45" s="100" t="e">
        <f>ROUND($D$45*AD45/100,2)</f>
        <v>#DIV/0!</v>
      </c>
      <c r="AF45" s="98" t="e">
        <f>AF43</f>
        <v>#DIV/0!</v>
      </c>
      <c r="AG45" s="100" t="e">
        <f>ROUND($D$45*AF45/100,2)</f>
        <v>#DIV/0!</v>
      </c>
    </row>
    <row r="46" spans="1:33" ht="21.75" hidden="1" customHeight="1" x14ac:dyDescent="0.3">
      <c r="A46" s="441"/>
      <c r="B46" s="878"/>
      <c r="C46" s="837"/>
      <c r="D46" s="95"/>
      <c r="E46" s="96"/>
      <c r="F46" s="97">
        <f t="shared" si="14"/>
        <v>0</v>
      </c>
      <c r="G46" s="178"/>
      <c r="H46" s="162"/>
      <c r="I46" s="162"/>
      <c r="J46" s="162"/>
      <c r="L46" s="175">
        <f>L25</f>
        <v>0</v>
      </c>
      <c r="M46" s="97">
        <f t="shared" si="15"/>
        <v>0</v>
      </c>
      <c r="N46" s="97" t="e">
        <f>L26</f>
        <v>#DIV/0!</v>
      </c>
      <c r="O46" s="97" t="e">
        <f t="shared" si="16"/>
        <v>#DIV/0!</v>
      </c>
      <c r="P46" s="97" t="e">
        <f>L27</f>
        <v>#DIV/0!</v>
      </c>
      <c r="Q46" s="97" t="e">
        <f t="shared" si="17"/>
        <v>#DIV/0!</v>
      </c>
      <c r="R46" s="97" t="e">
        <f>L28</f>
        <v>#DIV/0!</v>
      </c>
      <c r="S46" s="97" t="e">
        <f t="shared" si="18"/>
        <v>#DIV/0!</v>
      </c>
      <c r="T46" s="97" t="e">
        <f>L29</f>
        <v>#DIV/0!</v>
      </c>
      <c r="U46" s="97" t="e">
        <f t="shared" si="19"/>
        <v>#DIV/0!</v>
      </c>
      <c r="V46" s="98" t="e">
        <f>L30</f>
        <v>#DIV/0!</v>
      </c>
      <c r="W46" s="99" t="e">
        <f>ROUND(V46*$D$46/100,2)</f>
        <v>#DIV/0!</v>
      </c>
      <c r="X46" s="98" t="e">
        <f>L31</f>
        <v>#DIV/0!</v>
      </c>
      <c r="Y46" s="100" t="e">
        <f>ROUND(X46*$D$46/100,2)</f>
        <v>#DIV/0!</v>
      </c>
      <c r="Z46" s="98" t="e">
        <f>L32</f>
        <v>#DIV/0!</v>
      </c>
      <c r="AA46" s="100" t="e">
        <f>ROUND(Z46*$D$46/100,2)</f>
        <v>#DIV/0!</v>
      </c>
      <c r="AB46" s="98" t="e">
        <f>L33</f>
        <v>#DIV/0!</v>
      </c>
      <c r="AC46" s="100" t="e">
        <f>ROUND(AB46*$D$46/100,2)</f>
        <v>#DIV/0!</v>
      </c>
      <c r="AD46" s="98" t="e">
        <f>L34</f>
        <v>#DIV/0!</v>
      </c>
      <c r="AE46" s="100" t="e">
        <f>ROUND(AD46*$D$46/100,2)</f>
        <v>#DIV/0!</v>
      </c>
      <c r="AF46" s="98" t="e">
        <f>L35</f>
        <v>#DIV/0!</v>
      </c>
      <c r="AG46" s="100" t="e">
        <f>ROUND(AF46*$D$46/100,2)</f>
        <v>#DIV/0!</v>
      </c>
    </row>
    <row r="47" spans="1:33" ht="21.75" hidden="1" customHeight="1" x14ac:dyDescent="0.3">
      <c r="A47" s="441"/>
      <c r="B47" s="878"/>
      <c r="C47" s="837"/>
      <c r="D47" s="95"/>
      <c r="E47" s="96"/>
      <c r="F47" s="97">
        <f t="shared" si="14"/>
        <v>0</v>
      </c>
      <c r="G47" s="178"/>
      <c r="H47" s="162"/>
      <c r="I47" s="162"/>
      <c r="J47" s="162"/>
      <c r="L47" s="175">
        <f>N25</f>
        <v>0</v>
      </c>
      <c r="M47" s="97">
        <f t="shared" si="15"/>
        <v>0</v>
      </c>
      <c r="N47" s="97" t="e">
        <f>N26</f>
        <v>#DIV/0!</v>
      </c>
      <c r="O47" s="97" t="e">
        <f t="shared" si="16"/>
        <v>#DIV/0!</v>
      </c>
      <c r="P47" s="97" t="e">
        <f>N27</f>
        <v>#DIV/0!</v>
      </c>
      <c r="Q47" s="97" t="e">
        <f t="shared" si="17"/>
        <v>#DIV/0!</v>
      </c>
      <c r="R47" s="97" t="e">
        <f>N28</f>
        <v>#DIV/0!</v>
      </c>
      <c r="S47" s="97" t="e">
        <f>ROUND(D47*R47/100,2)</f>
        <v>#DIV/0!</v>
      </c>
      <c r="T47" s="97" t="e">
        <f>N29</f>
        <v>#DIV/0!</v>
      </c>
      <c r="U47" s="97" t="e">
        <f t="shared" si="19"/>
        <v>#DIV/0!</v>
      </c>
      <c r="V47" s="98" t="e">
        <f>N30</f>
        <v>#DIV/0!</v>
      </c>
      <c r="W47" s="100" t="e">
        <f>ROUND(V47*D47/100,2)</f>
        <v>#DIV/0!</v>
      </c>
      <c r="X47" s="98" t="e">
        <f>N31</f>
        <v>#DIV/0!</v>
      </c>
      <c r="Y47" s="100" t="e">
        <f>ROUND(X47*D47/100,2)</f>
        <v>#DIV/0!</v>
      </c>
      <c r="Z47" s="98" t="e">
        <f>N32</f>
        <v>#DIV/0!</v>
      </c>
      <c r="AA47" s="100" t="e">
        <f>ROUND(D47*Z47/100,2)</f>
        <v>#DIV/0!</v>
      </c>
      <c r="AB47" s="98" t="e">
        <f>N33</f>
        <v>#DIV/0!</v>
      </c>
      <c r="AC47" s="100" t="e">
        <f>ROUND(D47*AB47/100,2)</f>
        <v>#DIV/0!</v>
      </c>
      <c r="AD47" s="98" t="e">
        <f>N34</f>
        <v>#DIV/0!</v>
      </c>
      <c r="AE47" s="100" t="e">
        <f>ROUND(D47*AD47/100,2)</f>
        <v>#DIV/0!</v>
      </c>
      <c r="AF47" s="98" t="e">
        <f>N35</f>
        <v>#DIV/0!</v>
      </c>
      <c r="AG47" s="100" t="e">
        <f>ROUND(AF47*D47/100,2)</f>
        <v>#DIV/0!</v>
      </c>
    </row>
    <row r="48" spans="1:33" ht="21.75" hidden="1" customHeight="1" x14ac:dyDescent="0.3">
      <c r="A48" s="441"/>
      <c r="B48" s="878"/>
      <c r="C48" s="837"/>
      <c r="D48" s="387"/>
      <c r="E48" s="156"/>
      <c r="F48" s="97"/>
      <c r="G48" s="118"/>
      <c r="H48" s="162"/>
      <c r="I48" s="162"/>
      <c r="J48" s="162"/>
      <c r="L48" s="175">
        <f>'[3]BP FEVRIER    '!C102</f>
        <v>0</v>
      </c>
      <c r="M48" s="97">
        <f t="shared" si="15"/>
        <v>0</v>
      </c>
      <c r="N48" s="97" t="e">
        <f>'[3]BP MARS   '!C102</f>
        <v>#DIV/0!</v>
      </c>
      <c r="O48" s="97" t="e">
        <f t="shared" si="16"/>
        <v>#DIV/0!</v>
      </c>
      <c r="P48" s="97" t="e">
        <f>'[3]BP AVRIL    '!C102</f>
        <v>#DIV/0!</v>
      </c>
      <c r="Q48" s="97" t="e">
        <f t="shared" si="17"/>
        <v>#DIV/0!</v>
      </c>
      <c r="R48" s="97" t="e">
        <f>'[3]BP MAI     '!C102</f>
        <v>#DIV/0!</v>
      </c>
      <c r="S48" s="97" t="e">
        <f>'[3]BP MAI     '!F102</f>
        <v>#DIV/0!</v>
      </c>
      <c r="T48" s="103" t="e">
        <f>'[3]BP  JUIN '!C102</f>
        <v>#DIV/0!</v>
      </c>
      <c r="U48" s="97" t="e">
        <f>ROUND(T48*D48/100,2)</f>
        <v>#DIV/0!</v>
      </c>
      <c r="V48" s="98" t="e">
        <f>+T48+'[3]BP JUILLET '!C102</f>
        <v>#DIV/0!</v>
      </c>
      <c r="W48" s="99" t="e">
        <f>ROUND(V48*$D$48/100,2)</f>
        <v>#DIV/0!</v>
      </c>
      <c r="X48" s="103" t="e">
        <f>V48+'[3]BP AOUT '!C101</f>
        <v>#DIV/0!</v>
      </c>
      <c r="Y48" s="100" t="e">
        <f>ROUND(X48*$D$48/100,2)</f>
        <v>#DIV/0!</v>
      </c>
      <c r="Z48" s="103" t="e">
        <f>X48+'[3]BP SEPTEMBRE '!C101</f>
        <v>#DIV/0!</v>
      </c>
      <c r="AA48" s="100" t="e">
        <f>ROUND(Z48*$D$48/100,2)</f>
        <v>#DIV/0!</v>
      </c>
      <c r="AB48" s="103" t="e">
        <f>Z48+'[3]BP OCTOBRE '!C101</f>
        <v>#DIV/0!</v>
      </c>
      <c r="AC48" s="100" t="e">
        <f>ROUND(AB48*$D$48/100,2)</f>
        <v>#DIV/0!</v>
      </c>
      <c r="AD48" s="103" t="e">
        <f>AB48+'[3]BP NOVEMBRE '!C101</f>
        <v>#DIV/0!</v>
      </c>
      <c r="AE48" s="100" t="e">
        <f>ROUND(AD48*$D$48/100,2)</f>
        <v>#DIV/0!</v>
      </c>
      <c r="AF48" s="103" t="e">
        <f>AD48+'[3]BP DECEMBRE '!C101</f>
        <v>#DIV/0!</v>
      </c>
      <c r="AG48" s="100" t="e">
        <f>ROUND(AF48*$D$48/100,2)</f>
        <v>#DIV/0!</v>
      </c>
    </row>
    <row r="49" spans="1:33" s="20" customFormat="1" ht="20.25" customHeight="1" x14ac:dyDescent="0.25">
      <c r="A49" s="441"/>
      <c r="B49" s="877" t="s">
        <v>95</v>
      </c>
      <c r="C49" s="877"/>
      <c r="D49" s="444"/>
      <c r="F49" s="142">
        <f>SUM(F40:F48)</f>
        <v>0</v>
      </c>
      <c r="H49" s="163"/>
      <c r="I49" s="163"/>
      <c r="J49" s="163"/>
      <c r="L49" s="176"/>
      <c r="M49" s="105">
        <f>SUM(M40:M48)</f>
        <v>0</v>
      </c>
      <c r="N49" s="105"/>
      <c r="O49" s="105" t="e">
        <f>SUM(O40:O48)</f>
        <v>#DIV/0!</v>
      </c>
      <c r="P49" s="105"/>
      <c r="Q49" s="105" t="e">
        <f>SUM(Q40:Q48)</f>
        <v>#DIV/0!</v>
      </c>
      <c r="R49" s="105"/>
      <c r="S49" s="105" t="e">
        <f>SUM(S40:S48)</f>
        <v>#DIV/0!</v>
      </c>
      <c r="T49" s="105"/>
      <c r="U49" s="105" t="e">
        <f>SUM(U40:U48)</f>
        <v>#DIV/0!</v>
      </c>
      <c r="V49" s="105"/>
      <c r="W49" s="105" t="e">
        <f>SUM(W40:W48)</f>
        <v>#DIV/0!</v>
      </c>
      <c r="X49" s="105"/>
      <c r="Y49" s="105" t="e">
        <f t="shared" ref="Y49:AG49" si="20">SUM(Y40:Y48)</f>
        <v>#DIV/0!</v>
      </c>
      <c r="Z49" s="105"/>
      <c r="AA49" s="105" t="e">
        <f t="shared" si="20"/>
        <v>#DIV/0!</v>
      </c>
      <c r="AB49" s="105"/>
      <c r="AC49" s="105" t="e">
        <f t="shared" si="20"/>
        <v>#DIV/0!</v>
      </c>
      <c r="AD49" s="105"/>
      <c r="AE49" s="105" t="e">
        <f t="shared" si="20"/>
        <v>#DIV/0!</v>
      </c>
      <c r="AF49" s="105"/>
      <c r="AG49" s="105" t="e">
        <f t="shared" si="20"/>
        <v>#DIV/0!</v>
      </c>
    </row>
    <row r="50" spans="1:33" ht="20.25" customHeight="1" x14ac:dyDescent="0.3">
      <c r="A50" s="441"/>
      <c r="B50" s="869" t="s">
        <v>199</v>
      </c>
      <c r="C50" s="869"/>
      <c r="D50" s="445"/>
      <c r="E50" s="446"/>
      <c r="F50" s="434" t="e">
        <f xml:space="preserve"> ROUND(IF(F49/E41&gt;0.1131,0.1131,F49/E41),4)</f>
        <v>#DIV/0!</v>
      </c>
      <c r="G50" s="106"/>
      <c r="H50" s="106"/>
      <c r="I50" s="106"/>
      <c r="J50" s="106"/>
      <c r="L50" s="107"/>
      <c r="M50" s="107"/>
      <c r="N50" s="107"/>
      <c r="P50" s="106"/>
      <c r="R50" s="106"/>
    </row>
    <row r="51" spans="1:33" ht="20.25" customHeight="1" x14ac:dyDescent="0.3">
      <c r="B51" s="52"/>
      <c r="C51" s="52"/>
      <c r="E51" s="106"/>
      <c r="F51" s="106"/>
      <c r="G51" s="106"/>
      <c r="H51" s="106"/>
      <c r="I51" s="106"/>
      <c r="J51" s="106"/>
      <c r="L51" s="107"/>
      <c r="M51" s="107"/>
      <c r="N51" s="107"/>
      <c r="P51" s="106"/>
      <c r="R51" s="106"/>
    </row>
    <row r="52" spans="1:33" ht="20.25" customHeight="1" x14ac:dyDescent="0.3">
      <c r="T52" s="106"/>
    </row>
    <row r="53" spans="1:33" ht="20.25" customHeight="1" x14ac:dyDescent="0.3">
      <c r="B53" s="108"/>
      <c r="C53" s="108"/>
      <c r="D53" s="108"/>
      <c r="E53" s="108"/>
      <c r="F53" s="108"/>
      <c r="G53" s="108"/>
      <c r="H53" s="108"/>
      <c r="I53" s="108"/>
      <c r="J53" s="108"/>
      <c r="K53" s="108"/>
    </row>
    <row r="54" spans="1:33" ht="27.75" customHeight="1" x14ac:dyDescent="0.3">
      <c r="A54" s="92" t="s">
        <v>152</v>
      </c>
      <c r="B54" s="870" t="s">
        <v>153</v>
      </c>
      <c r="C54" s="871"/>
      <c r="D54" s="871"/>
      <c r="E54" s="871"/>
      <c r="F54" s="871"/>
      <c r="G54" s="871"/>
      <c r="H54" s="871"/>
      <c r="I54" s="871"/>
      <c r="J54" s="871"/>
      <c r="K54" s="871"/>
      <c r="O54" s="109"/>
      <c r="P54" s="109"/>
      <c r="Q54" s="109"/>
      <c r="R54" s="109"/>
      <c r="S54" s="109"/>
      <c r="T54" s="109"/>
    </row>
    <row r="55" spans="1:33" ht="20.25" customHeight="1" x14ac:dyDescent="0.3">
      <c r="A55" s="57" t="s">
        <v>308</v>
      </c>
      <c r="B55" s="57" t="s">
        <v>264</v>
      </c>
      <c r="C55" s="57" t="s">
        <v>226</v>
      </c>
      <c r="D55" s="57" t="s">
        <v>265</v>
      </c>
      <c r="E55" s="57" t="s">
        <v>266</v>
      </c>
      <c r="F55" s="57" t="s">
        <v>267</v>
      </c>
      <c r="G55" s="57" t="s">
        <v>268</v>
      </c>
      <c r="H55" s="45"/>
      <c r="K55" s="110"/>
    </row>
    <row r="56" spans="1:33" s="111" customFormat="1" ht="48.75" customHeight="1" x14ac:dyDescent="0.2">
      <c r="A56" s="112" t="s">
        <v>317</v>
      </c>
      <c r="B56" s="438" t="s">
        <v>154</v>
      </c>
      <c r="C56" s="438" t="s">
        <v>318</v>
      </c>
      <c r="D56" s="438" t="s">
        <v>103</v>
      </c>
      <c r="E56" s="438" t="s">
        <v>319</v>
      </c>
      <c r="F56" s="439" t="s">
        <v>155</v>
      </c>
      <c r="G56" s="439" t="s">
        <v>411</v>
      </c>
      <c r="H56" s="113">
        <v>56</v>
      </c>
      <c r="I56" s="114"/>
      <c r="J56" s="114"/>
      <c r="N56" s="114"/>
      <c r="O56" s="114"/>
      <c r="P56" s="114"/>
      <c r="Q56" s="114"/>
      <c r="R56" s="114"/>
      <c r="S56" s="114"/>
      <c r="T56" s="114"/>
    </row>
    <row r="57" spans="1:33" s="111" customFormat="1" ht="33" customHeight="1" x14ac:dyDescent="0.2">
      <c r="A57" s="389"/>
      <c r="B57" s="391">
        <f>'BP FORMAT JUILLET 2023'!J21+'BP FORMAT JUILLET 2023'!J22+'BP FORMAT JUILLET 2023'!J20+'BP FORMAT JUILLET 2023'!J18+'BP FORMAT JUILLET 2023'!J19</f>
        <v>0</v>
      </c>
      <c r="C57" s="144">
        <f>A57+B57</f>
        <v>0</v>
      </c>
      <c r="D57" s="145" t="e">
        <f>ROUND(IF(F49/E41&gt;0.1131,0.1131,F49/E41),4)</f>
        <v>#DIV/0!</v>
      </c>
      <c r="E57" s="392">
        <f>IF(A57&gt;8037,0,IF(C57&gt;8037,8037-A57,B57))</f>
        <v>0</v>
      </c>
      <c r="F57" s="392" t="e">
        <f>ROUND(E57*D57,2)</f>
        <v>#DIV/0!</v>
      </c>
      <c r="G57" s="390">
        <f>IF(C57&gt;8037,B57-E57,0)</f>
        <v>0</v>
      </c>
      <c r="H57" s="113">
        <v>57</v>
      </c>
      <c r="I57" s="158"/>
      <c r="J57" s="158"/>
      <c r="N57" s="114"/>
      <c r="O57" s="114"/>
      <c r="P57" s="114"/>
      <c r="Q57" s="114"/>
      <c r="R57" s="114"/>
      <c r="S57" s="114"/>
      <c r="T57" s="114"/>
    </row>
    <row r="58" spans="1:33" ht="22.5" hidden="1" customHeight="1" x14ac:dyDescent="0.3">
      <c r="A58" s="143"/>
      <c r="B58" s="144"/>
      <c r="C58" s="144"/>
      <c r="D58" s="143"/>
      <c r="E58" s="160"/>
      <c r="F58" s="144"/>
      <c r="G58" s="159"/>
      <c r="H58" s="159"/>
      <c r="I58" s="159"/>
      <c r="J58" s="159"/>
      <c r="L58" s="118"/>
      <c r="M58" s="119"/>
      <c r="N58" s="120"/>
      <c r="O58" s="114"/>
      <c r="P58" s="114"/>
      <c r="Q58" s="114"/>
      <c r="R58" s="118"/>
      <c r="S58" s="118"/>
      <c r="T58" s="118"/>
    </row>
    <row r="59" spans="1:33" ht="22.5" hidden="1" customHeight="1" x14ac:dyDescent="0.3">
      <c r="A59" s="113" t="s">
        <v>156</v>
      </c>
      <c r="B59" s="102">
        <f>+'[3]BP FEVRIER    '!J59+'[3]BP FEVRIER    '!J60+'[3]BP FEVRIER    '!J61+'[3]BP FEVRIER    '!J62+'[3]BP FEVRIER    '!J63</f>
        <v>0</v>
      </c>
      <c r="C59" s="113">
        <f>B59+B57</f>
        <v>0</v>
      </c>
      <c r="D59" s="115" t="e">
        <f>IF(M49/B25&gt;0.1131,0.1131,M49/B25)</f>
        <v>#DIV/0!</v>
      </c>
      <c r="E59" s="116" t="e">
        <f>IF(C59&lt;5358,B59*D59,IF(C57&gt;5358,0,(5358-C57)*D59))</f>
        <v>#DIV/0!</v>
      </c>
      <c r="F59" s="116"/>
      <c r="G59" s="157"/>
      <c r="H59" s="157"/>
      <c r="I59" s="157"/>
      <c r="J59" s="157"/>
      <c r="K59" s="117">
        <f>IF(C59&lt;5358,B59,IF(C57&gt;5358,0,5358-C57))</f>
        <v>0</v>
      </c>
      <c r="L59" s="118"/>
      <c r="M59" s="119"/>
      <c r="N59" s="120"/>
      <c r="O59" s="114"/>
      <c r="P59" s="114"/>
      <c r="Q59" s="114"/>
      <c r="R59" s="118"/>
      <c r="S59" s="118"/>
      <c r="T59" s="118"/>
    </row>
    <row r="60" spans="1:33" ht="22.5" hidden="1" customHeight="1" x14ac:dyDescent="0.3">
      <c r="A60" s="113" t="s">
        <v>157</v>
      </c>
      <c r="B60" s="102" t="e">
        <f>+L91</f>
        <v>#DIV/0!</v>
      </c>
      <c r="C60" s="102" t="e">
        <f>C59+B60</f>
        <v>#DIV/0!</v>
      </c>
      <c r="D60" s="115" t="e">
        <f>IF(O49/B26&lt;0.1131,O49/B26,0.1131)</f>
        <v>#DIV/0!</v>
      </c>
      <c r="E60" s="116" t="e">
        <f>IF(C60&lt;5358,B60*D60,IF(C59&gt;5358,0,(5358-C59)*D60))</f>
        <v>#DIV/0!</v>
      </c>
      <c r="F60" s="116"/>
      <c r="G60" s="116"/>
      <c r="H60" s="116"/>
      <c r="I60" s="116"/>
      <c r="J60" s="116"/>
      <c r="K60" s="117" t="e">
        <f t="shared" ref="K60:K69" si="21">IF(C60&lt;5358,B60,IF(C59&gt;5358,0,5358-C59))</f>
        <v>#DIV/0!</v>
      </c>
      <c r="L60" s="118"/>
      <c r="M60" s="119"/>
      <c r="N60" s="120"/>
      <c r="O60" s="121"/>
      <c r="P60" s="121"/>
      <c r="Q60" s="121"/>
      <c r="R60" s="121"/>
      <c r="S60" s="121"/>
      <c r="T60" s="121"/>
    </row>
    <row r="61" spans="1:33" ht="22.5" hidden="1" customHeight="1" x14ac:dyDescent="0.3">
      <c r="A61" s="113" t="s">
        <v>158</v>
      </c>
      <c r="B61" s="102" t="e">
        <f>+M91</f>
        <v>#DIV/0!</v>
      </c>
      <c r="C61" s="102" t="e">
        <f>C60+B61</f>
        <v>#DIV/0!</v>
      </c>
      <c r="D61" s="115" t="e">
        <f>IF(Q49/B27&lt;0.1131,Q49/B27,0.1131)</f>
        <v>#DIV/0!</v>
      </c>
      <c r="E61" s="116" t="e">
        <f>IF(C61&lt;5358,B61*D61,IF(C60&gt;5358,0,(5358-C60)*D61))</f>
        <v>#DIV/0!</v>
      </c>
      <c r="F61" s="116"/>
      <c r="G61" s="116"/>
      <c r="H61" s="116"/>
      <c r="I61" s="116"/>
      <c r="J61" s="116"/>
      <c r="K61" s="117" t="e">
        <f t="shared" si="21"/>
        <v>#DIV/0!</v>
      </c>
      <c r="L61" s="118"/>
      <c r="M61" s="119"/>
      <c r="N61" s="120"/>
      <c r="O61" s="121"/>
      <c r="P61" s="121"/>
      <c r="Q61" s="121"/>
      <c r="R61" s="121"/>
      <c r="S61" s="121"/>
      <c r="T61" s="121"/>
      <c r="U61" s="2"/>
    </row>
    <row r="62" spans="1:33" ht="22.5" hidden="1" customHeight="1" x14ac:dyDescent="0.3">
      <c r="A62" s="113" t="s">
        <v>159</v>
      </c>
      <c r="B62" s="102" t="e">
        <f>+N91</f>
        <v>#DIV/0!</v>
      </c>
      <c r="C62" s="102" t="e">
        <f>C61+B62</f>
        <v>#DIV/0!</v>
      </c>
      <c r="D62" s="115" t="e">
        <f>IF(S49/B28&lt;0.1131,S49/B28,0.1131)</f>
        <v>#DIV/0!</v>
      </c>
      <c r="E62" s="116" t="e">
        <f>IF(C62&lt;5358,B62*D62,IF(C61&gt;5358,0,(5358-C61)*D62))</f>
        <v>#DIV/0!</v>
      </c>
      <c r="F62" s="116"/>
      <c r="G62" s="116"/>
      <c r="H62" s="116"/>
      <c r="I62" s="116"/>
      <c r="J62" s="116"/>
      <c r="K62" s="117" t="e">
        <f t="shared" si="21"/>
        <v>#DIV/0!</v>
      </c>
      <c r="L62" s="118"/>
      <c r="M62" s="119"/>
      <c r="N62" s="120"/>
      <c r="O62" s="121"/>
      <c r="P62" s="121"/>
      <c r="Q62" s="121"/>
      <c r="R62" s="121"/>
      <c r="S62" s="121"/>
      <c r="T62" s="121"/>
      <c r="U62" s="2"/>
    </row>
    <row r="63" spans="1:33" ht="22.5" hidden="1" customHeight="1" x14ac:dyDescent="0.3">
      <c r="A63" s="113" t="s">
        <v>148</v>
      </c>
      <c r="B63" s="102" t="e">
        <f>+O91</f>
        <v>#DIV/0!</v>
      </c>
      <c r="C63" s="102" t="e">
        <f>C62+B63</f>
        <v>#DIV/0!</v>
      </c>
      <c r="D63" s="115" t="e">
        <f>IF(U49/B29&lt;0.1131,U49/B29,0.1131)</f>
        <v>#DIV/0!</v>
      </c>
      <c r="E63" s="116" t="e">
        <f>IF(C63&lt;5358,B63*D63,IF(C62&gt;5358,0,(5358-C62)*D63))</f>
        <v>#DIV/0!</v>
      </c>
      <c r="F63" s="116"/>
      <c r="G63" s="116"/>
      <c r="H63" s="116"/>
      <c r="I63" s="116"/>
      <c r="J63" s="116"/>
      <c r="K63" s="117" t="e">
        <f t="shared" si="21"/>
        <v>#DIV/0!</v>
      </c>
      <c r="L63" s="118"/>
      <c r="M63" s="119"/>
      <c r="N63" s="120"/>
      <c r="O63" s="121"/>
      <c r="P63" s="121"/>
      <c r="Q63" s="121"/>
      <c r="R63" s="121"/>
      <c r="S63" s="121"/>
      <c r="T63" s="121"/>
      <c r="U63" s="2"/>
    </row>
    <row r="64" spans="1:33" ht="22.5" hidden="1" customHeight="1" x14ac:dyDescent="0.3">
      <c r="A64" s="113" t="s">
        <v>160</v>
      </c>
      <c r="B64" s="122" t="e">
        <f>'[3]BP JUILLET '!J59+'[3]BP JUILLET '!J60+'[3]BP JUILLET '!J61+'[3]BP JUILLET '!J62+'[3]BP JUILLET '!J63</f>
        <v>#DIV/0!</v>
      </c>
      <c r="C64" s="122" t="e">
        <f t="shared" ref="C64:C69" si="22">+B64+C63</f>
        <v>#DIV/0!</v>
      </c>
      <c r="D64" s="123" t="e">
        <f>+IF(W49/B30&gt;0.1131,0.1131,W49/B30)</f>
        <v>#DIV/0!</v>
      </c>
      <c r="E64" s="116" t="e">
        <f t="shared" ref="E64:E69" si="23">IF(C64&lt;5358,B64*D64,IF(C63&gt;5358,0,(5358-C63)*D64))</f>
        <v>#DIV/0!</v>
      </c>
      <c r="F64" s="116"/>
      <c r="G64" s="116"/>
      <c r="H64" s="116"/>
      <c r="I64" s="116"/>
      <c r="J64" s="116"/>
      <c r="K64" s="117" t="e">
        <f t="shared" si="21"/>
        <v>#DIV/0!</v>
      </c>
      <c r="L64" s="118"/>
      <c r="M64" s="119"/>
      <c r="N64" s="120"/>
      <c r="O64" s="121"/>
      <c r="P64" s="121"/>
      <c r="Q64" s="121"/>
      <c r="R64" s="121"/>
      <c r="S64" s="121"/>
      <c r="T64" s="121"/>
    </row>
    <row r="65" spans="1:20" ht="22.5" hidden="1" customHeight="1" x14ac:dyDescent="0.3">
      <c r="A65" s="113" t="s">
        <v>161</v>
      </c>
      <c r="B65" s="122" t="e">
        <f>Q91</f>
        <v>#DIV/0!</v>
      </c>
      <c r="C65" s="122" t="e">
        <f t="shared" si="22"/>
        <v>#DIV/0!</v>
      </c>
      <c r="D65" s="123" t="e">
        <f>+IF(Y49/B31&gt;0.1131,0.1131,Y49/B31)</f>
        <v>#DIV/0!</v>
      </c>
      <c r="E65" s="116" t="e">
        <f t="shared" si="23"/>
        <v>#DIV/0!</v>
      </c>
      <c r="F65" s="116"/>
      <c r="G65" s="116"/>
      <c r="H65" s="116"/>
      <c r="I65" s="116"/>
      <c r="J65" s="116"/>
      <c r="K65" s="117" t="e">
        <f t="shared" si="21"/>
        <v>#DIV/0!</v>
      </c>
      <c r="L65" s="118"/>
      <c r="M65" s="119"/>
      <c r="N65" s="120"/>
      <c r="O65" s="121"/>
      <c r="P65" s="121"/>
      <c r="Q65" s="121"/>
      <c r="R65" s="121"/>
      <c r="S65" s="121"/>
      <c r="T65" s="121"/>
    </row>
    <row r="66" spans="1:20" ht="22.5" hidden="1" customHeight="1" x14ac:dyDescent="0.3">
      <c r="A66" s="113" t="s">
        <v>162</v>
      </c>
      <c r="B66" s="122" t="e">
        <f>R91</f>
        <v>#DIV/0!</v>
      </c>
      <c r="C66" s="122" t="e">
        <f t="shared" si="22"/>
        <v>#DIV/0!</v>
      </c>
      <c r="D66" s="123" t="e">
        <f>+IF(AA49/B32&gt;0.1131,0.1131,AA49/E11)</f>
        <v>#DIV/0!</v>
      </c>
      <c r="E66" s="116" t="e">
        <f t="shared" si="23"/>
        <v>#DIV/0!</v>
      </c>
      <c r="F66" s="116"/>
      <c r="G66" s="116"/>
      <c r="H66" s="116"/>
      <c r="I66" s="116"/>
      <c r="J66" s="116"/>
      <c r="K66" s="117" t="e">
        <f t="shared" si="21"/>
        <v>#DIV/0!</v>
      </c>
      <c r="L66" s="118"/>
      <c r="M66" s="119"/>
      <c r="N66" s="120"/>
      <c r="O66" s="121"/>
      <c r="P66" s="121"/>
      <c r="Q66" s="121"/>
      <c r="R66" s="121"/>
      <c r="S66" s="121"/>
      <c r="T66" s="121"/>
    </row>
    <row r="67" spans="1:20" ht="22.5" hidden="1" customHeight="1" x14ac:dyDescent="0.3">
      <c r="A67" s="113" t="s">
        <v>163</v>
      </c>
      <c r="B67" s="122" t="e">
        <f>S91</f>
        <v>#DIV/0!</v>
      </c>
      <c r="C67" s="122" t="e">
        <f t="shared" si="22"/>
        <v>#DIV/0!</v>
      </c>
      <c r="D67" s="123" t="e">
        <f>+IF(AC49/B33&gt;0.1131,0.1131,AC49/EG2)</f>
        <v>#DIV/0!</v>
      </c>
      <c r="E67" s="116" t="e">
        <f t="shared" si="23"/>
        <v>#DIV/0!</v>
      </c>
      <c r="F67" s="116"/>
      <c r="G67" s="116"/>
      <c r="H67" s="116"/>
      <c r="I67" s="116"/>
      <c r="J67" s="116"/>
      <c r="K67" s="117" t="e">
        <f t="shared" si="21"/>
        <v>#DIV/0!</v>
      </c>
      <c r="L67" s="118"/>
      <c r="M67" s="119"/>
      <c r="N67" s="120"/>
      <c r="O67" s="121"/>
      <c r="P67" s="121"/>
      <c r="Q67" s="121"/>
      <c r="R67" s="121"/>
      <c r="S67" s="121"/>
      <c r="T67" s="121"/>
    </row>
    <row r="68" spans="1:20" ht="22.5" hidden="1" customHeight="1" x14ac:dyDescent="0.3">
      <c r="A68" s="113" t="s">
        <v>164</v>
      </c>
      <c r="B68" s="122" t="e">
        <f>T91</f>
        <v>#DIV/0!</v>
      </c>
      <c r="C68" s="122" t="e">
        <f t="shared" si="22"/>
        <v>#DIV/0!</v>
      </c>
      <c r="D68" s="123" t="e">
        <f>+IF(AE49/B34&gt;0.1131,0.1131,AE49/B34)</f>
        <v>#DIV/0!</v>
      </c>
      <c r="E68" s="116" t="e">
        <f t="shared" si="23"/>
        <v>#DIV/0!</v>
      </c>
      <c r="F68" s="116"/>
      <c r="G68" s="116"/>
      <c r="H68" s="116"/>
      <c r="I68" s="116"/>
      <c r="J68" s="116"/>
      <c r="K68" s="117" t="e">
        <f t="shared" si="21"/>
        <v>#DIV/0!</v>
      </c>
      <c r="L68" s="118"/>
      <c r="M68" s="119"/>
      <c r="N68" s="120"/>
      <c r="O68" s="121"/>
      <c r="P68" s="121"/>
      <c r="Q68" s="121"/>
      <c r="R68" s="121"/>
      <c r="S68" s="121"/>
      <c r="T68" s="121"/>
    </row>
    <row r="69" spans="1:20" ht="22.5" hidden="1" customHeight="1" x14ac:dyDescent="0.3">
      <c r="A69" s="113" t="s">
        <v>165</v>
      </c>
      <c r="B69" s="122" t="e">
        <f>U91</f>
        <v>#DIV/0!</v>
      </c>
      <c r="C69" s="122" t="e">
        <f t="shared" si="22"/>
        <v>#DIV/0!</v>
      </c>
      <c r="D69" s="123" t="e">
        <f>+IF(AG49/B35&gt;0.1131,0.1131,AG49/B35)</f>
        <v>#DIV/0!</v>
      </c>
      <c r="E69" s="116" t="e">
        <f t="shared" si="23"/>
        <v>#DIV/0!</v>
      </c>
      <c r="F69" s="116"/>
      <c r="G69" s="116"/>
      <c r="H69" s="116"/>
      <c r="I69" s="116"/>
      <c r="J69" s="116"/>
      <c r="K69" s="117" t="e">
        <f t="shared" si="21"/>
        <v>#DIV/0!</v>
      </c>
      <c r="L69" s="118"/>
      <c r="M69" s="119"/>
      <c r="N69" s="120"/>
      <c r="O69" s="121"/>
      <c r="P69" s="121"/>
      <c r="Q69" s="121"/>
      <c r="R69" s="121"/>
      <c r="S69" s="121"/>
      <c r="T69" s="121"/>
    </row>
    <row r="70" spans="1:20" ht="22.5" hidden="1" customHeight="1" x14ac:dyDescent="0.3">
      <c r="A70" s="45"/>
      <c r="B70" s="2"/>
      <c r="C70" s="2"/>
      <c r="D70" s="124" t="e">
        <f>+IF(AE52/E15&gt;0.1131,0.1131,AE52/E15)</f>
        <v>#DIV/0!</v>
      </c>
      <c r="M70" s="125" t="e">
        <f t="shared" ref="M70:M80" si="24">+K70-K69</f>
        <v>#DIV/0!</v>
      </c>
      <c r="Q70" s="126"/>
      <c r="R70" s="127">
        <f t="shared" ref="R70:R80" si="25">IF(C70&lt;5358,C70*0.9825,5358*0.9825)</f>
        <v>0</v>
      </c>
    </row>
    <row r="71" spans="1:20" ht="22.5" hidden="1" customHeight="1" x14ac:dyDescent="0.3">
      <c r="A71" s="45"/>
      <c r="B71" s="2"/>
      <c r="C71" s="2"/>
      <c r="D71" s="57" t="e">
        <f>+IF(AE53/E16&gt;0.1131,0.1131,AE53/E16)</f>
        <v>#DIV/0!</v>
      </c>
      <c r="M71" s="128">
        <f t="shared" si="24"/>
        <v>0</v>
      </c>
      <c r="Q71" s="129"/>
      <c r="R71" s="127">
        <f t="shared" si="25"/>
        <v>0</v>
      </c>
    </row>
    <row r="72" spans="1:20" ht="22.5" hidden="1" customHeight="1" x14ac:dyDescent="0.3">
      <c r="A72" s="108"/>
      <c r="B72" s="2"/>
      <c r="C72" s="2"/>
      <c r="D72" s="57" t="e">
        <f>+IF(AE54/E17&gt;0.1131,0.1131,AE54/E17)</f>
        <v>#DIV/0!</v>
      </c>
      <c r="M72" s="128">
        <f t="shared" si="24"/>
        <v>0</v>
      </c>
      <c r="Q72" s="130"/>
      <c r="R72" s="127">
        <f t="shared" si="25"/>
        <v>0</v>
      </c>
    </row>
    <row r="73" spans="1:20" ht="22.5" hidden="1" customHeight="1" x14ac:dyDescent="0.3">
      <c r="A73" s="108"/>
      <c r="B73" s="2"/>
      <c r="C73" s="2"/>
      <c r="D73" s="57" t="e">
        <f>+IF(AE55/E18&gt;0.1131,0.1131,AE55/E18)</f>
        <v>#DIV/0!</v>
      </c>
      <c r="M73" s="128">
        <f t="shared" si="24"/>
        <v>0</v>
      </c>
      <c r="Q73" s="130"/>
      <c r="R73" s="127">
        <f t="shared" si="25"/>
        <v>0</v>
      </c>
    </row>
    <row r="74" spans="1:20" ht="22.5" hidden="1" customHeight="1" x14ac:dyDescent="0.3">
      <c r="A74" s="108"/>
      <c r="B74" s="2"/>
      <c r="C74" s="2"/>
      <c r="D74" s="57" t="e">
        <f>+IF(AE56/E19&gt;0.1131,0.1131,AE56/E19)</f>
        <v>#DIV/0!</v>
      </c>
      <c r="M74" s="128">
        <f t="shared" si="24"/>
        <v>0</v>
      </c>
      <c r="Q74" s="130"/>
      <c r="R74" s="127">
        <f t="shared" si="25"/>
        <v>0</v>
      </c>
    </row>
    <row r="75" spans="1:20" ht="22.5" hidden="1" customHeight="1" x14ac:dyDescent="0.3">
      <c r="A75" s="108"/>
      <c r="B75" s="2"/>
      <c r="C75" s="2"/>
      <c r="D75" s="57" t="e">
        <f t="shared" ref="D75:D80" si="26">+IF(AE58/E21&gt;0.1131,0.1131,AE58/E21)</f>
        <v>#DIV/0!</v>
      </c>
      <c r="M75" s="128">
        <f t="shared" si="24"/>
        <v>0</v>
      </c>
      <c r="Q75" s="130"/>
      <c r="R75" s="127">
        <f t="shared" si="25"/>
        <v>0</v>
      </c>
    </row>
    <row r="76" spans="1:20" ht="22.5" hidden="1" customHeight="1" x14ac:dyDescent="0.3">
      <c r="A76" s="108"/>
      <c r="B76" s="2"/>
      <c r="C76" s="2"/>
      <c r="D76" s="57" t="e">
        <f t="shared" si="26"/>
        <v>#VALUE!</v>
      </c>
      <c r="M76" s="128">
        <f t="shared" si="24"/>
        <v>0</v>
      </c>
      <c r="Q76" s="130"/>
      <c r="R76" s="127">
        <f t="shared" si="25"/>
        <v>0</v>
      </c>
    </row>
    <row r="77" spans="1:20" ht="22.5" hidden="1" customHeight="1" x14ac:dyDescent="0.3">
      <c r="A77" s="108"/>
      <c r="B77" s="2"/>
      <c r="C77" s="2"/>
      <c r="D77" s="57" t="e">
        <f t="shared" si="26"/>
        <v>#VALUE!</v>
      </c>
      <c r="M77" s="128">
        <f t="shared" si="24"/>
        <v>0</v>
      </c>
      <c r="Q77" s="130"/>
      <c r="R77" s="127">
        <f t="shared" si="25"/>
        <v>0</v>
      </c>
    </row>
    <row r="78" spans="1:20" ht="22.5" hidden="1" customHeight="1" x14ac:dyDescent="0.3">
      <c r="A78" s="108"/>
      <c r="B78" s="2"/>
      <c r="C78" s="2"/>
      <c r="D78" s="57">
        <f t="shared" si="26"/>
        <v>0</v>
      </c>
      <c r="M78" s="128">
        <f t="shared" si="24"/>
        <v>0</v>
      </c>
      <c r="Q78" s="130"/>
      <c r="R78" s="127">
        <f t="shared" si="25"/>
        <v>0</v>
      </c>
    </row>
    <row r="79" spans="1:20" ht="22.5" hidden="1" customHeight="1" x14ac:dyDescent="0.3">
      <c r="A79" s="108"/>
      <c r="B79" s="2"/>
      <c r="C79" s="2"/>
      <c r="D79" s="57">
        <f t="shared" si="26"/>
        <v>0</v>
      </c>
      <c r="M79" s="128">
        <f t="shared" si="24"/>
        <v>0</v>
      </c>
      <c r="Q79" s="130"/>
      <c r="R79" s="127">
        <f t="shared" si="25"/>
        <v>0</v>
      </c>
    </row>
    <row r="80" spans="1:20" ht="22.5" hidden="1" customHeight="1" x14ac:dyDescent="0.3">
      <c r="A80" s="108"/>
      <c r="D80" s="57" t="e">
        <f t="shared" si="26"/>
        <v>#DIV/0!</v>
      </c>
      <c r="M80" s="128">
        <f t="shared" si="24"/>
        <v>0</v>
      </c>
      <c r="R80" s="127">
        <f t="shared" si="25"/>
        <v>0</v>
      </c>
    </row>
    <row r="81" spans="1:21" ht="20.25" customHeight="1" x14ac:dyDescent="0.3">
      <c r="A81" s="108"/>
      <c r="M81" s="131"/>
      <c r="R81" s="132"/>
    </row>
    <row r="82" spans="1:21" ht="20.25" customHeight="1" x14ac:dyDescent="0.3">
      <c r="A82" s="108"/>
      <c r="M82" s="131"/>
      <c r="R82" s="132"/>
    </row>
    <row r="83" spans="1:21" ht="20.25" customHeight="1" x14ac:dyDescent="0.3">
      <c r="A83" s="108"/>
      <c r="E83" s="152"/>
    </row>
    <row r="84" spans="1:21" ht="27" customHeight="1" x14ac:dyDescent="0.3">
      <c r="A84" s="448" t="s">
        <v>308</v>
      </c>
      <c r="B84" s="448" t="s">
        <v>264</v>
      </c>
      <c r="C84" s="448" t="s">
        <v>226</v>
      </c>
      <c r="D84" s="448" t="s">
        <v>265</v>
      </c>
      <c r="E84" s="448" t="s">
        <v>266</v>
      </c>
      <c r="F84" s="448" t="s">
        <v>267</v>
      </c>
      <c r="G84" s="109"/>
      <c r="H84" s="109"/>
      <c r="I84" s="109"/>
      <c r="J84" s="109"/>
      <c r="K84" s="109"/>
      <c r="L84" s="146" t="s">
        <v>157</v>
      </c>
      <c r="M84" s="133" t="s">
        <v>158</v>
      </c>
      <c r="N84" s="133" t="s">
        <v>147</v>
      </c>
      <c r="O84" s="133" t="s">
        <v>148</v>
      </c>
      <c r="P84" s="133" t="s">
        <v>149</v>
      </c>
      <c r="Q84" s="133" t="s">
        <v>161</v>
      </c>
      <c r="R84" s="133" t="s">
        <v>162</v>
      </c>
      <c r="S84" s="133" t="s">
        <v>163</v>
      </c>
      <c r="T84" s="133" t="s">
        <v>164</v>
      </c>
      <c r="U84" s="133" t="s">
        <v>165</v>
      </c>
    </row>
    <row r="85" spans="1:21" ht="20.25" customHeight="1" x14ac:dyDescent="0.3">
      <c r="A85" s="867" t="s">
        <v>166</v>
      </c>
      <c r="B85" s="867"/>
      <c r="C85" s="867"/>
      <c r="D85" s="867"/>
      <c r="E85" s="155">
        <f>'BP FORMAT JUILLET 2023'!J33-'BP FORMAT JUILLET 2023'!J22-'BP FORMAT JUILLET 2023'!J21-'BP FORMAT JUILLET 2023'!J20-'BP FORMAT JUILLET 2023'!J19-'BP FORMAT JUILLET 2023'!J18-'BP FORMAT JUILLET 2023'!J14-'BP FORMAT JUILLET 2023'!J17</f>
        <v>700.35</v>
      </c>
      <c r="F85" s="447">
        <v>85</v>
      </c>
      <c r="G85" s="148"/>
      <c r="H85" s="148"/>
      <c r="I85" s="148"/>
      <c r="J85" s="148"/>
      <c r="K85" s="148"/>
      <c r="L85" s="147" t="e">
        <f>'[3]BP MARS   '!J74-'[3]BP MARS   '!J59-'[3]BP MARS   '!J60-'[3]BP MARS   '!J61-'[3]BP MARS   '!J62-'[3]BP MARS   '!J63-'[3]HEURES SUPPLEMENTAIRES '!G83</f>
        <v>#DIV/0!</v>
      </c>
      <c r="M85" s="134" t="e">
        <f>'[3]BP AVRIL    '!J74-M88-'[3]BP AVRIL    '!J59-'[3]BP AVRIL    '!J60-'[3]BP AVRIL    '!J61-'[3]BP AVRIL    '!J62-'[3]BP AVRIL    '!J63</f>
        <v>#DIV/0!</v>
      </c>
      <c r="N85" s="134" t="e">
        <f>'[3]BP MAI     '!J74-'[3]BP MAI     '!J59-'[3]BP MAI     '!J60-'[3]BP MAI     '!J61-'[3]BP MAI     '!J62-'[3]BP MAI     '!J63-N88</f>
        <v>#DIV/0!</v>
      </c>
      <c r="O85" s="122" t="e">
        <f>'[3]BP  JUIN '!J74-'[3]HEURES SUPPLEMENTAIRES '!J83-'[3]HEURES SUPPLEMENTAIRES '!J85</f>
        <v>#DIV/0!</v>
      </c>
      <c r="P85" s="122" t="e">
        <f>'[3]BP JUILLET '!J74-'[3]BP JUILLET '!J59-'[3]BP JUILLET '!J60-'[3]BP JUILLET '!J61-'[3]BP JUILLET '!J62-'[3]BP JUILLET '!J63-'[3]BP JUILLET '!J55-'[3]BP JUILLET '!J56-'[3]BP JUILLET '!J57-'[3]BP JUILLET '!J58-'[3]BP JUILLET '!J17</f>
        <v>#DIV/0!</v>
      </c>
      <c r="Q85" s="122" t="e">
        <f>'[3]BP AOUT '!J74-'[3]BP AOUT '!J63-'[3]BP AOUT '!J62-'[3]BP AOUT '!J61-'[3]BP AOUT '!J60-'[3]BP AOUT '!J59-'[3]HEURES SUPPLEMENTAIRES '!L83</f>
        <v>#DIV/0!</v>
      </c>
      <c r="R85" s="122" t="e">
        <f>'[3]BP SEPTEMBRE '!J74-'[3]BP SEPTEMBRE '!J63-'[3]BP SEPTEMBRE '!J62-'[3]BP SEPTEMBRE '!J61-'[3]BP SEPTEMBRE '!J60-'[3]BP SEPTEMBRE '!J59-'[3]HEURES SUPPLEMENTAIRES '!M83</f>
        <v>#DIV/0!</v>
      </c>
      <c r="S85" s="122" t="e">
        <f>'[3]BP OCTOBRE '!J74-'[3]BP OCTOBRE '!J63-'[3]BP OCTOBRE '!J62-'[3]BP OCTOBRE '!J61-'[3]BP OCTOBRE '!J60-'[3]BP OCTOBRE '!J59-'[3]HEURES SUPPLEMENTAIRES '!N83</f>
        <v>#DIV/0!</v>
      </c>
      <c r="T85" s="122" t="e">
        <f>'[3]BP NOVEMBRE '!J74-'[3]BP NOVEMBRE '!J63-'[3]BP NOVEMBRE '!J62-'[3]BP NOVEMBRE '!J61-'[3]BP NOVEMBRE '!J60-'[3]BP NOVEMBRE '!J59-'[3]HEURES SUPPLEMENTAIRES '!O83</f>
        <v>#DIV/0!</v>
      </c>
      <c r="U85" s="122" t="e">
        <f>'[3]BP DECEMBRE '!J74-'[3]BP DECEMBRE '!J63-'[3]BP DECEMBRE '!J62-'[3]BP DECEMBRE '!J61-'[3]BP DECEMBRE '!J60-'[3]BP DECEMBRE '!J59-'[3]HEURES SUPPLEMENTAIRES '!P83</f>
        <v>#DIV/0!</v>
      </c>
    </row>
    <row r="86" spans="1:21" ht="20.25" customHeight="1" x14ac:dyDescent="0.3">
      <c r="A86" s="861" t="s">
        <v>397</v>
      </c>
      <c r="B86" s="862"/>
      <c r="C86" s="862"/>
      <c r="D86" s="863"/>
      <c r="E86" s="155">
        <f>G57</f>
        <v>0</v>
      </c>
      <c r="F86" s="447">
        <v>86</v>
      </c>
      <c r="G86" s="148"/>
      <c r="H86" s="148"/>
      <c r="I86" s="148"/>
      <c r="J86" s="148"/>
      <c r="K86" s="148"/>
      <c r="L86" s="147"/>
      <c r="M86" s="134"/>
      <c r="N86" s="134"/>
      <c r="O86" s="122"/>
      <c r="P86" s="122"/>
      <c r="Q86" s="122"/>
      <c r="R86" s="122"/>
      <c r="S86" s="122"/>
      <c r="T86" s="122"/>
      <c r="U86" s="122"/>
    </row>
    <row r="87" spans="1:21" ht="20.25" customHeight="1" x14ac:dyDescent="0.3">
      <c r="A87" s="864" t="s">
        <v>398</v>
      </c>
      <c r="B87" s="865"/>
      <c r="C87" s="865"/>
      <c r="D87" s="866"/>
      <c r="E87" s="155">
        <f>E85+E86</f>
        <v>700.35</v>
      </c>
      <c r="F87" s="447">
        <v>87</v>
      </c>
      <c r="G87" s="148"/>
      <c r="H87" s="148"/>
      <c r="I87" s="148"/>
      <c r="J87" s="148"/>
      <c r="K87" s="148"/>
      <c r="L87" s="147"/>
      <c r="M87" s="134"/>
      <c r="N87" s="134"/>
      <c r="O87" s="122"/>
      <c r="P87" s="122"/>
      <c r="Q87" s="122"/>
      <c r="R87" s="122"/>
      <c r="S87" s="122"/>
      <c r="T87" s="122"/>
      <c r="U87" s="122"/>
    </row>
    <row r="88" spans="1:21" ht="20.25" customHeight="1" x14ac:dyDescent="0.3">
      <c r="A88" s="861" t="s">
        <v>18</v>
      </c>
      <c r="B88" s="862"/>
      <c r="C88" s="862"/>
      <c r="D88" s="863"/>
      <c r="E88" s="155">
        <f>+'BP FORMAT JUILLET 2023'!J17</f>
        <v>0</v>
      </c>
      <c r="F88" s="447">
        <v>88</v>
      </c>
      <c r="G88" s="148"/>
      <c r="H88" s="148"/>
      <c r="I88" s="148"/>
      <c r="J88" s="148"/>
      <c r="K88" s="148"/>
      <c r="L88" s="147">
        <f>+'[3]BP MARS   '!J17+'[3]BP MARS   '!J55+'[3]BP MARS   '!J56+'[3]BP MARS   '!J57+'[3]BP MARS   '!J58</f>
        <v>0</v>
      </c>
      <c r="M88" s="134">
        <f>'[3]BP AVRIL    '!J17+'[3]BP AVRIL    '!J55+'[3]BP AVRIL    '!J56+'[3]BP AVRIL    '!J57+'[3]BP AVRIL    '!J58</f>
        <v>0</v>
      </c>
      <c r="N88" s="134">
        <f>'[3]BP MAI     '!J58+'[3]BP MAI     '!J57+'[3]BP MAI     '!J56+'[3]BP MAI     '!J55+'[3]BP MAI     '!J17</f>
        <v>0</v>
      </c>
      <c r="O88" s="122">
        <f>'[3]BP  JUIN '!J17+'[3]BP  JUIN '!J55+'[3]BP  JUIN '!J56+'[3]BP  JUIN '!J57+'[3]BP  JUIN '!J58</f>
        <v>0</v>
      </c>
      <c r="P88" s="122">
        <f>'[3]BP JUILLET '!J17+'[3]BP JUILLET '!J55+'[3]BP JUILLET '!J56+'[3]BP JUILLET '!J57+'[3]BP JUILLET '!J58</f>
        <v>0</v>
      </c>
      <c r="Q88" s="122">
        <f>'[3]BP AOUT '!J17+'[3]BP AOUT '!J55+'[3]BP AOUT '!J56+'[3]BP AOUT '!J57+'[3]BP AOUT '!J58</f>
        <v>0</v>
      </c>
      <c r="R88" s="122">
        <f>'[3]BP SEPTEMBRE '!J17+'[3]BP SEPTEMBRE '!J55+'[3]BP SEPTEMBRE '!J56+'[3]BP SEPTEMBRE '!J57+'[3]BP SEPTEMBRE '!J58</f>
        <v>0</v>
      </c>
      <c r="S88" s="122">
        <f>'[3]BP OCTOBRE '!J17+'[3]BP OCTOBRE '!J55+'[3]BP OCTOBRE '!J56+'[3]BP OCTOBRE '!J57+'[3]BP OCTOBRE '!J58</f>
        <v>0</v>
      </c>
      <c r="T88" s="122">
        <f>'[3]BP NOVEMBRE '!J17+'[3]BP NOVEMBRE '!J55+'[3]BP NOVEMBRE '!J56+'[3]BP NOVEMBRE '!J57+'[3]BP NOVEMBRE '!J58</f>
        <v>0</v>
      </c>
      <c r="U88" s="122">
        <f>'[3]BP DECEMBRE '!J17+'[3]BP DECEMBRE '!J55+'[3]BP DECEMBRE '!J56+'[3]BP DECEMBRE '!J57+'[3]BP DECEMBRE '!J58</f>
        <v>0</v>
      </c>
    </row>
    <row r="89" spans="1:21" ht="20.25" customHeight="1" x14ac:dyDescent="0.3">
      <c r="A89" s="861" t="s">
        <v>412</v>
      </c>
      <c r="B89" s="862"/>
      <c r="C89" s="862"/>
      <c r="D89" s="863"/>
      <c r="E89" s="155">
        <f>+'BP FORMAT JUILLET 2023'!J14</f>
        <v>0</v>
      </c>
      <c r="F89" s="447">
        <v>89</v>
      </c>
      <c r="G89" s="148"/>
      <c r="H89" s="148"/>
      <c r="I89" s="148"/>
      <c r="J89" s="148"/>
      <c r="K89" s="148"/>
      <c r="L89" s="147"/>
      <c r="M89" s="134"/>
      <c r="N89" s="134"/>
      <c r="O89" s="122"/>
      <c r="P89" s="122"/>
      <c r="Q89" s="122"/>
      <c r="R89" s="122"/>
      <c r="S89" s="122"/>
      <c r="T89" s="122"/>
      <c r="U89" s="122"/>
    </row>
    <row r="90" spans="1:21" ht="20.25" customHeight="1" x14ac:dyDescent="0.3">
      <c r="A90" s="861" t="s">
        <v>316</v>
      </c>
      <c r="B90" s="862"/>
      <c r="C90" s="862"/>
      <c r="D90" s="863"/>
      <c r="E90" s="155">
        <f>E88+E89</f>
        <v>0</v>
      </c>
      <c r="F90" s="447">
        <v>90</v>
      </c>
      <c r="G90" s="148"/>
      <c r="H90" s="148"/>
      <c r="I90" s="148"/>
      <c r="J90" s="148"/>
      <c r="K90" s="148"/>
      <c r="L90" s="147">
        <f t="shared" ref="L90:U90" si="27">L88+K90</f>
        <v>0</v>
      </c>
      <c r="M90" s="134">
        <f t="shared" si="27"/>
        <v>0</v>
      </c>
      <c r="N90" s="134">
        <f t="shared" si="27"/>
        <v>0</v>
      </c>
      <c r="O90" s="134">
        <f t="shared" si="27"/>
        <v>0</v>
      </c>
      <c r="P90" s="134">
        <f t="shared" si="27"/>
        <v>0</v>
      </c>
      <c r="Q90" s="134">
        <f t="shared" si="27"/>
        <v>0</v>
      </c>
      <c r="R90" s="134">
        <f t="shared" si="27"/>
        <v>0</v>
      </c>
      <c r="S90" s="134">
        <f t="shared" si="27"/>
        <v>0</v>
      </c>
      <c r="T90" s="134">
        <f t="shared" si="27"/>
        <v>0</v>
      </c>
      <c r="U90" s="134">
        <f t="shared" si="27"/>
        <v>0</v>
      </c>
    </row>
    <row r="91" spans="1:21" ht="24" customHeight="1" x14ac:dyDescent="0.3">
      <c r="A91" s="867" t="s">
        <v>167</v>
      </c>
      <c r="B91" s="867"/>
      <c r="C91" s="867"/>
      <c r="D91" s="867"/>
      <c r="E91" s="155">
        <f>E57</f>
        <v>0</v>
      </c>
      <c r="F91" s="447">
        <v>91</v>
      </c>
      <c r="G91" s="148"/>
      <c r="H91" s="148"/>
      <c r="I91" s="148"/>
      <c r="J91" s="148"/>
      <c r="K91" s="148"/>
      <c r="L91" s="147" t="e">
        <f>+'[3]BP MARS   '!J59+'[3]BP MARS   '!J60+'[3]BP MARS   '!J61+'[3]BP MARS   '!J62+'[3]BP MARS   '!J63</f>
        <v>#DIV/0!</v>
      </c>
      <c r="M91" s="134" t="e">
        <f>+'[3]BP AVRIL    '!J59+'[3]BP AVRIL    '!J60+'[3]BP AVRIL    '!J61+'[3]BP AVRIL    '!J62+'[3]BP AVRIL    '!J63</f>
        <v>#DIV/0!</v>
      </c>
      <c r="N91" s="134" t="e">
        <f>+'[3]BP MAI     '!J59+'[3]BP MAI     '!J60+'[3]BP MAI     '!J61+'[3]BP MAI     '!J62+'[3]BP MAI     '!J63</f>
        <v>#DIV/0!</v>
      </c>
      <c r="O91" s="122" t="e">
        <f>'[3]BP  JUIN '!J59+'[3]BP  JUIN '!J60+'[3]BP  JUIN '!J61+'[3]BP  JUIN '!J62+'[3]BP  JUIN '!J63</f>
        <v>#DIV/0!</v>
      </c>
      <c r="P91" s="122" t="e">
        <f>'[3]BP JUILLET '!J59+'[3]BP JUILLET '!J60+'[3]BP JUILLET '!J61+'[3]BP JUILLET '!J62+'[3]BP JUILLET '!J63</f>
        <v>#DIV/0!</v>
      </c>
      <c r="Q91" s="122" t="e">
        <f>'[3]BP AOUT '!J59+'[3]BP AOUT '!J60+'[3]BP AOUT '!J61+'[3]BP AOUT '!J62+'[3]BP AOUT '!J63</f>
        <v>#DIV/0!</v>
      </c>
      <c r="R91" s="122" t="e">
        <f>'[3]BP SEPTEMBRE '!J59+'[3]BP SEPTEMBRE '!J60+'[3]BP SEPTEMBRE '!J61+'[3]BP SEPTEMBRE '!J62+'[3]BP SEPTEMBRE '!J63</f>
        <v>#DIV/0!</v>
      </c>
      <c r="S91" s="122" t="e">
        <f>'[3]BP OCTOBRE '!J59+'[3]BP OCTOBRE '!J60+'[3]BP OCTOBRE '!J61+'[3]BP OCTOBRE '!J62+'[3]BP OCTOBRE '!J63</f>
        <v>#DIV/0!</v>
      </c>
      <c r="T91" s="122" t="e">
        <f>'[3]BP NOVEMBRE '!J59+'[3]BP NOVEMBRE '!J60+'[3]BP NOVEMBRE '!J61+'[3]BP NOVEMBRE '!J62+'[3]BP NOVEMBRE '!J63</f>
        <v>#DIV/0!</v>
      </c>
      <c r="U91" s="122" t="e">
        <f>'[3]BP DECEMBRE '!J59+'[3]BP DECEMBRE '!J60+'[3]BP DECEMBRE '!J61+'[3]BP DECEMBRE '!J62+'[3]BP DECEMBRE '!J63</f>
        <v>#DIV/0!</v>
      </c>
    </row>
    <row r="92" spans="1:21" ht="24" customHeight="1" x14ac:dyDescent="0.3">
      <c r="A92" s="867" t="s">
        <v>414</v>
      </c>
      <c r="B92" s="867"/>
      <c r="C92" s="867"/>
      <c r="D92" s="867"/>
      <c r="E92" s="155">
        <f>'BP FORMAT JUILLET 2023'!F66</f>
        <v>0</v>
      </c>
      <c r="F92" s="447"/>
      <c r="G92" s="148"/>
      <c r="H92" s="148"/>
      <c r="I92" s="148"/>
      <c r="J92" s="148"/>
      <c r="K92" s="148"/>
      <c r="L92" s="147" t="e">
        <f>'[3]BP MARS   '!F105</f>
        <v>#DIV/0!</v>
      </c>
      <c r="M92" s="134" t="e">
        <f>'[3]BP AVRIL    '!F105</f>
        <v>#DIV/0!</v>
      </c>
      <c r="N92" s="134" t="e">
        <f>'[3]BP MAI     '!F105</f>
        <v>#DIV/0!</v>
      </c>
      <c r="O92" s="122" t="e">
        <f>+'[3]BP  JUIN '!F105</f>
        <v>#DIV/0!</v>
      </c>
      <c r="P92" s="122" t="e">
        <f>'[3]BP JUILLET '!F105</f>
        <v>#DIV/0!</v>
      </c>
      <c r="Q92" s="122" t="e">
        <f>'[3]BP AOUT '!F105</f>
        <v>#DIV/0!</v>
      </c>
      <c r="R92" s="122" t="e">
        <f>'[3]BP SEPTEMBRE '!F105</f>
        <v>#DIV/0!</v>
      </c>
      <c r="S92" s="122" t="e">
        <f>'[3]BP OCTOBRE '!F105</f>
        <v>#DIV/0!</v>
      </c>
      <c r="T92" s="122" t="e">
        <f>'[3]BP NOVEMBRE '!F105</f>
        <v>#DIV/0!</v>
      </c>
      <c r="U92" s="122" t="e">
        <f>'[3]BP DECEMBRE '!F105</f>
        <v>#DIV/0!</v>
      </c>
    </row>
    <row r="93" spans="1:21" ht="24" customHeight="1" x14ac:dyDescent="0.3">
      <c r="A93" s="867" t="s">
        <v>168</v>
      </c>
      <c r="B93" s="867"/>
      <c r="C93" s="867"/>
      <c r="D93" s="867"/>
      <c r="E93" s="155">
        <f>'BP FORMAT JUILLET 2023'!F67</f>
        <v>0</v>
      </c>
      <c r="F93" s="447"/>
      <c r="G93" s="148"/>
      <c r="H93" s="148"/>
      <c r="I93" s="148"/>
      <c r="J93" s="148"/>
      <c r="K93" s="148"/>
      <c r="L93" s="147" t="e">
        <f>'[3]BP MARS   '!F106</f>
        <v>#DIV/0!</v>
      </c>
      <c r="M93" s="134" t="e">
        <f>'[3]BP AVRIL    '!F106</f>
        <v>#DIV/0!</v>
      </c>
      <c r="N93" s="134" t="e">
        <f>'[3]BP MAI     '!F106</f>
        <v>#DIV/0!</v>
      </c>
      <c r="O93" s="122" t="e">
        <f>+'[3]BP  JUIN '!F106</f>
        <v>#DIV/0!</v>
      </c>
      <c r="P93" s="122" t="e">
        <f>'[3]BP JUILLET '!F106</f>
        <v>#DIV/0!</v>
      </c>
      <c r="Q93" s="122" t="e">
        <f>'[3]BP AOUT '!F106</f>
        <v>#DIV/0!</v>
      </c>
      <c r="R93" s="122" t="e">
        <f>'[3]BP SEPTEMBRE '!F106</f>
        <v>#DIV/0!</v>
      </c>
      <c r="S93" s="122" t="e">
        <f>'[3]BP OCTOBRE '!F106</f>
        <v>#DIV/0!</v>
      </c>
      <c r="T93" s="122" t="e">
        <f>'[3]BP NOVEMBRE '!F106</f>
        <v>#DIV/0!</v>
      </c>
      <c r="U93" s="122" t="e">
        <f>'[3]BP DECEMBRE '!F106</f>
        <v>#DIV/0!</v>
      </c>
    </row>
    <row r="94" spans="1:21" ht="24" customHeight="1" x14ac:dyDescent="0.3">
      <c r="A94" s="867" t="s">
        <v>169</v>
      </c>
      <c r="B94" s="867"/>
      <c r="C94" s="867"/>
      <c r="D94" s="867"/>
      <c r="E94" s="155">
        <f>'BP FORMAT JUILLET 2023'!F68</f>
        <v>0</v>
      </c>
      <c r="F94" s="447"/>
      <c r="G94" s="148"/>
      <c r="H94" s="148"/>
      <c r="I94" s="148"/>
      <c r="J94" s="148"/>
      <c r="K94" s="148"/>
      <c r="L94" s="147" t="e">
        <f>'[3]BP MARS   '!F107</f>
        <v>#DIV/0!</v>
      </c>
      <c r="M94" s="134" t="e">
        <f>'[3]BP AVRIL    '!F107</f>
        <v>#DIV/0!</v>
      </c>
      <c r="N94" s="134" t="e">
        <f>'[3]BP MAI     '!F107</f>
        <v>#DIV/0!</v>
      </c>
      <c r="O94" s="122" t="e">
        <f>+'[3]BP  JUIN '!F107</f>
        <v>#DIV/0!</v>
      </c>
      <c r="P94" s="122" t="e">
        <f>'[3]BP JUILLET '!F107</f>
        <v>#DIV/0!</v>
      </c>
      <c r="Q94" s="122" t="e">
        <f>'[3]BP AOUT '!F107</f>
        <v>#DIV/0!</v>
      </c>
      <c r="R94" s="122" t="e">
        <f>'[3]BP SEPTEMBRE '!F107</f>
        <v>#DIV/0!</v>
      </c>
      <c r="S94" s="122" t="e">
        <f>'[3]BP OCTOBRE '!F107</f>
        <v>#DIV/0!</v>
      </c>
      <c r="T94" s="122" t="e">
        <f>'[3]BP NOVEMBRE '!F107</f>
        <v>#DIV/0!</v>
      </c>
      <c r="U94" s="122" t="e">
        <f>'[3]BP DECEMBRE '!F107</f>
        <v>#DIV/0!</v>
      </c>
    </row>
    <row r="95" spans="1:21" ht="24" customHeight="1" x14ac:dyDescent="0.3">
      <c r="A95" s="867" t="s">
        <v>170</v>
      </c>
      <c r="B95" s="867"/>
      <c r="C95" s="867"/>
      <c r="D95" s="867"/>
      <c r="E95" s="155">
        <f>'BP FORMAT JUILLET 2023'!F69</f>
        <v>0</v>
      </c>
      <c r="F95" s="447"/>
      <c r="G95" s="148"/>
      <c r="H95" s="148"/>
      <c r="I95" s="148"/>
      <c r="J95" s="148"/>
      <c r="K95" s="148"/>
      <c r="L95" s="147">
        <f>'[3]BP MARS   '!F108</f>
        <v>0</v>
      </c>
      <c r="M95" s="134">
        <f>'[3]BP AVRIL    '!F108</f>
        <v>0</v>
      </c>
      <c r="N95" s="134" t="e">
        <f>'[3]BP MAI     '!F108</f>
        <v>#DIV/0!</v>
      </c>
      <c r="O95" s="122" t="e">
        <f>+'[3]BP  JUIN '!F108</f>
        <v>#DIV/0!</v>
      </c>
      <c r="P95" s="122" t="e">
        <f>'[3]BP JUILLET '!F108</f>
        <v>#DIV/0!</v>
      </c>
      <c r="Q95" s="122" t="e">
        <f>'[3]BP AOUT '!F108</f>
        <v>#DIV/0!</v>
      </c>
      <c r="R95" s="122" t="e">
        <f>'[3]BP SEPTEMBRE '!F108</f>
        <v>#DIV/0!</v>
      </c>
      <c r="S95" s="122" t="e">
        <f>'[3]BP OCTOBRE '!F108</f>
        <v>#DIV/0!</v>
      </c>
      <c r="T95" s="122" t="e">
        <f>'[3]BP NOVEMBRE '!F108</f>
        <v>#DIV/0!</v>
      </c>
      <c r="U95" s="122" t="e">
        <f>'[3]BP DECEMBRE '!F108</f>
        <v>#DIV/0!</v>
      </c>
    </row>
    <row r="96" spans="1:21" ht="24" customHeight="1" x14ac:dyDescent="0.3">
      <c r="A96" s="867" t="s">
        <v>171</v>
      </c>
      <c r="B96" s="867"/>
      <c r="C96" s="867"/>
      <c r="D96" s="867"/>
      <c r="E96" s="155">
        <f>'BP FORMAT JUILLET 2023'!F70</f>
        <v>0</v>
      </c>
      <c r="F96" s="447"/>
      <c r="G96" s="148"/>
      <c r="H96" s="148"/>
      <c r="I96" s="148"/>
      <c r="J96" s="148"/>
      <c r="K96" s="148"/>
      <c r="L96" s="147" t="e">
        <f>'[3]BP MARS   '!F109</f>
        <v>#DIV/0!</v>
      </c>
      <c r="M96" s="134" t="e">
        <f>'[3]BP AVRIL    '!F109</f>
        <v>#DIV/0!</v>
      </c>
      <c r="N96" s="134" t="e">
        <f>'[3]BP MAI     '!F109</f>
        <v>#DIV/0!</v>
      </c>
      <c r="O96" s="122" t="e">
        <f>+'[3]BP  JUIN '!F109</f>
        <v>#DIV/0!</v>
      </c>
      <c r="P96" s="122" t="e">
        <f>'[3]BP JUILLET '!F109</f>
        <v>#DIV/0!</v>
      </c>
      <c r="Q96" s="122" t="e">
        <f>'[3]BP AOUT '!F109</f>
        <v>#DIV/0!</v>
      </c>
      <c r="R96" s="122" t="e">
        <f>'[3]BP SEPTEMBRE '!F109</f>
        <v>#DIV/0!</v>
      </c>
      <c r="S96" s="122" t="e">
        <f>'[3]BP OCTOBRE '!F109</f>
        <v>#DIV/0!</v>
      </c>
      <c r="T96" s="122" t="e">
        <f>'[3]BP NOVEMBRE '!F109</f>
        <v>#DIV/0!</v>
      </c>
      <c r="U96" s="122" t="e">
        <f>'[3]BP DECEMBRE '!F109</f>
        <v>#DIV/0!</v>
      </c>
    </row>
    <row r="97" spans="1:21" ht="24" customHeight="1" x14ac:dyDescent="0.3">
      <c r="A97" s="867" t="s">
        <v>172</v>
      </c>
      <c r="B97" s="867"/>
      <c r="C97" s="867"/>
      <c r="D97" s="867"/>
      <c r="E97" s="155">
        <f>'BP FORMAT JUILLET 2023'!F73+'BP FORMAT JUILLET 2023'!F76+'BP FORMAT JUILLET 2023'!F78+'BP FORMAT JUILLET 2023'!F75+'BP FORMAT JUILLET 2023'!F44</f>
        <v>0</v>
      </c>
      <c r="F97" s="447"/>
      <c r="G97" s="148"/>
      <c r="H97" s="148"/>
      <c r="I97" s="148"/>
      <c r="J97" s="148"/>
      <c r="K97" s="148"/>
      <c r="L97" s="147" t="e">
        <f>'[3]BP MARS   '!F113</f>
        <v>#DIV/0!</v>
      </c>
      <c r="M97" s="134" t="e">
        <f>'[3]BP AVRIL    '!F113</f>
        <v>#DIV/0!</v>
      </c>
      <c r="N97" s="134" t="e">
        <f>'[3]BP MAI     '!F113</f>
        <v>#DIV/0!</v>
      </c>
      <c r="O97" s="122" t="e">
        <f>+'[3]BP  JUIN '!F113</f>
        <v>#DIV/0!</v>
      </c>
      <c r="P97" s="122" t="e">
        <f>'[3]BP JUILLET '!F113</f>
        <v>#DIV/0!</v>
      </c>
      <c r="Q97" s="122" t="e">
        <f>'[3]BP AOUT '!F113</f>
        <v>#DIV/0!</v>
      </c>
      <c r="R97" s="122" t="e">
        <f>'[3]BP SEPTEMBRE '!F113</f>
        <v>#DIV/0!</v>
      </c>
      <c r="S97" s="122" t="e">
        <f>'[3]BP OCTOBRE '!F113</f>
        <v>#DIV/0!</v>
      </c>
      <c r="T97" s="122" t="e">
        <f>'[3]BP NOVEMBRE '!F113</f>
        <v>#DIV/0!</v>
      </c>
      <c r="U97" s="122" t="e">
        <f>'[3]BP DECEMBRE '!F113</f>
        <v>#DIV/0!</v>
      </c>
    </row>
    <row r="98" spans="1:21" ht="24" customHeight="1" x14ac:dyDescent="0.3">
      <c r="A98" s="867" t="s">
        <v>173</v>
      </c>
      <c r="B98" s="867"/>
      <c r="C98" s="867"/>
      <c r="D98" s="867"/>
      <c r="E98" s="155">
        <f>'BP FORMAT JUILLET 2023'!G40+'BP FORMAT JUILLET 2023'!G43</f>
        <v>0</v>
      </c>
      <c r="F98" s="447">
        <v>98</v>
      </c>
      <c r="G98" s="148"/>
      <c r="H98" s="148"/>
      <c r="I98" s="148"/>
      <c r="J98" s="148"/>
      <c r="K98" s="148"/>
      <c r="L98" s="147" t="e">
        <f>'[3]BP MARS   '!G79+'[3]BP MARS   '!G80+'[3]BP MARS   '!G82+'[3]BP MARS   '!G83</f>
        <v>#DIV/0!</v>
      </c>
      <c r="M98" s="134" t="e">
        <f>'[3]BP AVRIL    '!G79+'[3]BP AVRIL    '!G80+'[3]BP AVRIL    '!G82+'[3]BP AVRIL    '!G83</f>
        <v>#DIV/0!</v>
      </c>
      <c r="N98" s="134" t="e">
        <f>'[3]BP MAI     '!G79+'[3]BP MAI     '!G80+'[3]BP MAI     '!G82+'[3]BP MAI     '!G83</f>
        <v>#DIV/0!</v>
      </c>
      <c r="O98" s="122" t="e">
        <f>+'[3]BP  JUIN '!G79+'[3]BP  JUIN '!G80+'[3]BP  JUIN '!G82+'[3]BP  JUIN '!G83</f>
        <v>#DIV/0!</v>
      </c>
      <c r="P98" s="122" t="e">
        <f>'[3]BP JUILLET '!G79+'[3]BP JUILLET '!G80+'[3]BP JUILLET '!G82+'[3]BP JUILLET '!G83</f>
        <v>#DIV/0!</v>
      </c>
      <c r="Q98" s="122" t="e">
        <f>'[3]BP AOUT '!G79+'[3]BP AOUT '!G80+'[3]BP AOUT '!G82+'[3]BP AOUT '!G83</f>
        <v>#DIV/0!</v>
      </c>
      <c r="R98" s="122" t="e">
        <f>'[3]BP SEPTEMBRE '!G79+'[3]BP SEPTEMBRE '!G80+'[3]BP SEPTEMBRE '!G82+'[3]BP SEPTEMBRE '!G83</f>
        <v>#DIV/0!</v>
      </c>
      <c r="S98" s="122" t="e">
        <f>'[3]BP OCTOBRE '!G79+'[3]BP OCTOBRE '!G80+'[3]BP OCTOBRE '!G82+'[3]BP OCTOBRE '!G83</f>
        <v>#DIV/0!</v>
      </c>
      <c r="T98" s="122" t="e">
        <f>'[3]BP NOVEMBRE '!G79+'[3]BP NOVEMBRE '!G80+'[3]BP NOVEMBRE '!G82+'[3]BP NOVEMBRE '!G83</f>
        <v>#DIV/0!</v>
      </c>
      <c r="U98" s="122" t="e">
        <f>'[3]BP DECEMBRE '!G79+'[3]BP DECEMBRE '!G80+'[3]BP DECEMBRE '!G82+'[3]BP DECEMBRE '!G83</f>
        <v>#DIV/0!</v>
      </c>
    </row>
    <row r="99" spans="1:21" ht="24" customHeight="1" x14ac:dyDescent="0.3">
      <c r="A99" s="867" t="s">
        <v>408</v>
      </c>
      <c r="B99" s="867"/>
      <c r="C99" s="867"/>
      <c r="D99" s="867"/>
      <c r="E99" s="449">
        <f>'BP FORMAT JUILLET 2023'!G76+'BP FORMAT JUILLET 2023'!G78+'BP FORMAT JUILLET 2023'!G44+'BP FORMAT JUILLET 2023'!G75</f>
        <v>0</v>
      </c>
      <c r="F99" s="447">
        <v>99</v>
      </c>
      <c r="G99" s="52"/>
      <c r="H99" s="52"/>
      <c r="I99" s="52"/>
      <c r="J99" s="52"/>
      <c r="K99" s="52"/>
      <c r="L99" s="52"/>
    </row>
    <row r="100" spans="1:21" ht="24" customHeight="1" x14ac:dyDescent="0.3">
      <c r="A100" s="868" t="s">
        <v>232</v>
      </c>
      <c r="B100" s="868"/>
      <c r="C100" s="868"/>
      <c r="D100" s="868"/>
      <c r="E100" s="450">
        <f>E85+E86+E88+E93+E94+E96-E97+E98+E104</f>
        <v>700.35</v>
      </c>
      <c r="F100" s="52"/>
      <c r="G100" s="52"/>
      <c r="H100" s="52"/>
      <c r="I100" s="52"/>
      <c r="J100" s="52"/>
      <c r="K100" s="52"/>
      <c r="L100" s="52"/>
    </row>
    <row r="101" spans="1:21" ht="20.25" customHeight="1" x14ac:dyDescent="0.3">
      <c r="C101" s="52"/>
      <c r="E101" s="52"/>
      <c r="F101" s="52"/>
      <c r="G101" s="52"/>
      <c r="H101" s="52"/>
      <c r="I101" s="52"/>
      <c r="J101" s="52"/>
      <c r="K101" s="52"/>
      <c r="L101" s="52"/>
    </row>
    <row r="102" spans="1:21" ht="20.25" customHeight="1" x14ac:dyDescent="0.3">
      <c r="C102" s="52"/>
      <c r="E102" s="52"/>
      <c r="F102" s="52"/>
      <c r="G102" s="52"/>
      <c r="H102" s="52"/>
      <c r="I102" s="52"/>
      <c r="J102" s="52"/>
      <c r="K102" s="52"/>
      <c r="L102" s="52"/>
    </row>
    <row r="103" spans="1:21" ht="20.25" customHeight="1" x14ac:dyDescent="0.3">
      <c r="A103" s="867" t="s">
        <v>228</v>
      </c>
      <c r="B103" s="867"/>
      <c r="C103" s="867"/>
      <c r="D103" s="867"/>
      <c r="E103" s="156">
        <f>+E111</f>
        <v>0</v>
      </c>
      <c r="F103" s="156">
        <f>F111</f>
        <v>0</v>
      </c>
      <c r="G103" s="156"/>
      <c r="H103" s="156"/>
      <c r="I103" s="156"/>
      <c r="J103" s="156"/>
      <c r="K103" s="156">
        <f>+K111</f>
        <v>0</v>
      </c>
      <c r="L103" s="1" t="e">
        <f t="shared" ref="L103:U103" si="28">+L111</f>
        <v>#DIV/0!</v>
      </c>
      <c r="M103" s="135" t="e">
        <f t="shared" si="28"/>
        <v>#DIV/0!</v>
      </c>
      <c r="N103" s="135" t="e">
        <f t="shared" si="28"/>
        <v>#DIV/0!</v>
      </c>
      <c r="O103" s="135" t="e">
        <f t="shared" si="28"/>
        <v>#DIV/0!</v>
      </c>
      <c r="P103" s="135" t="e">
        <f t="shared" si="28"/>
        <v>#DIV/0!</v>
      </c>
      <c r="Q103" s="135" t="e">
        <f t="shared" si="28"/>
        <v>#DIV/0!</v>
      </c>
      <c r="R103" s="135" t="e">
        <f t="shared" si="28"/>
        <v>#DIV/0!</v>
      </c>
      <c r="S103" s="135" t="e">
        <f t="shared" si="28"/>
        <v>#DIV/0!</v>
      </c>
      <c r="T103" s="135" t="e">
        <f t="shared" si="28"/>
        <v>#DIV/0!</v>
      </c>
      <c r="U103" s="135" t="e">
        <f t="shared" si="28"/>
        <v>#DIV/0!</v>
      </c>
    </row>
    <row r="104" spans="1:21" ht="20.25" customHeight="1" x14ac:dyDescent="0.3">
      <c r="A104" s="861" t="s">
        <v>197</v>
      </c>
      <c r="B104" s="862"/>
      <c r="C104" s="862"/>
      <c r="D104" s="863"/>
      <c r="E104" s="156"/>
      <c r="F104" s="156"/>
      <c r="G104" s="156"/>
      <c r="H104" s="156"/>
      <c r="I104" s="156"/>
      <c r="J104" s="156"/>
      <c r="K104" s="156"/>
      <c r="L104" s="1"/>
      <c r="M104" s="135"/>
      <c r="N104" s="135"/>
      <c r="O104" s="135"/>
      <c r="P104" s="135"/>
      <c r="Q104" s="135"/>
      <c r="R104" s="135"/>
      <c r="S104" s="135"/>
      <c r="T104" s="135"/>
      <c r="U104" s="135"/>
    </row>
    <row r="105" spans="1:21" ht="20.25" customHeight="1" x14ac:dyDescent="0.3">
      <c r="A105" s="867" t="s">
        <v>61</v>
      </c>
      <c r="B105" s="867"/>
      <c r="C105" s="867"/>
      <c r="D105" s="867"/>
      <c r="E105" s="156"/>
      <c r="F105" s="156"/>
      <c r="G105" s="156"/>
      <c r="H105" s="156"/>
      <c r="I105" s="156"/>
      <c r="J105" s="156"/>
      <c r="K105" s="156">
        <f t="shared" ref="K105:U105" si="29">K85-K97+K98+K93+K96+K94+K88+K103</f>
        <v>0</v>
      </c>
      <c r="L105" s="136" t="e">
        <f t="shared" si="29"/>
        <v>#DIV/0!</v>
      </c>
      <c r="M105" s="136" t="e">
        <f t="shared" si="29"/>
        <v>#DIV/0!</v>
      </c>
      <c r="N105" s="136" t="e">
        <f t="shared" si="29"/>
        <v>#DIV/0!</v>
      </c>
      <c r="O105" s="136" t="e">
        <f t="shared" si="29"/>
        <v>#DIV/0!</v>
      </c>
      <c r="P105" s="136" t="e">
        <f t="shared" si="29"/>
        <v>#DIV/0!</v>
      </c>
      <c r="Q105" s="136" t="e">
        <f t="shared" si="29"/>
        <v>#DIV/0!</v>
      </c>
      <c r="R105" s="136" t="e">
        <f t="shared" si="29"/>
        <v>#DIV/0!</v>
      </c>
      <c r="S105" s="136" t="e">
        <f t="shared" si="29"/>
        <v>#DIV/0!</v>
      </c>
      <c r="T105" s="136" t="e">
        <f t="shared" si="29"/>
        <v>#DIV/0!</v>
      </c>
      <c r="U105" s="136" t="e">
        <f t="shared" si="29"/>
        <v>#DIV/0!</v>
      </c>
    </row>
    <row r="107" spans="1:21" ht="30.75" customHeight="1" x14ac:dyDescent="0.3">
      <c r="E107" s="154" t="s">
        <v>202</v>
      </c>
      <c r="F107" s="154"/>
      <c r="G107" s="152"/>
      <c r="H107" s="152"/>
      <c r="I107" s="152"/>
      <c r="J107" s="152"/>
      <c r="K107" s="152"/>
      <c r="L107" s="149" t="s">
        <v>157</v>
      </c>
      <c r="M107" s="137" t="s">
        <v>158</v>
      </c>
      <c r="N107" s="137" t="s">
        <v>147</v>
      </c>
      <c r="O107" s="137" t="s">
        <v>148</v>
      </c>
      <c r="P107" s="137" t="s">
        <v>160</v>
      </c>
      <c r="Q107" s="137" t="s">
        <v>161</v>
      </c>
      <c r="R107" s="137" t="s">
        <v>162</v>
      </c>
      <c r="S107" s="137" t="s">
        <v>163</v>
      </c>
      <c r="T107" s="137" t="s">
        <v>164</v>
      </c>
      <c r="U107" s="137" t="s">
        <v>165</v>
      </c>
    </row>
    <row r="108" spans="1:21" ht="20.25" customHeight="1" x14ac:dyDescent="0.3">
      <c r="A108" s="867" t="s">
        <v>174</v>
      </c>
      <c r="B108" s="867"/>
      <c r="C108" s="867"/>
      <c r="D108" s="867"/>
      <c r="E108" s="138">
        <f>C57</f>
        <v>0</v>
      </c>
      <c r="F108" s="138"/>
      <c r="G108" s="153"/>
      <c r="H108" s="153"/>
      <c r="I108" s="153"/>
      <c r="J108" s="153"/>
      <c r="K108" s="104"/>
      <c r="L108" s="150" t="e">
        <f>C60</f>
        <v>#DIV/0!</v>
      </c>
      <c r="M108" s="138" t="e">
        <f>C61</f>
        <v>#DIV/0!</v>
      </c>
      <c r="N108" s="138" t="e">
        <f>C62</f>
        <v>#DIV/0!</v>
      </c>
      <c r="O108" s="138" t="e">
        <f>C63</f>
        <v>#DIV/0!</v>
      </c>
      <c r="P108" s="138" t="e">
        <f>C64</f>
        <v>#DIV/0!</v>
      </c>
      <c r="Q108" s="140" t="e">
        <f>C65</f>
        <v>#DIV/0!</v>
      </c>
      <c r="R108" s="140" t="e">
        <f>C66</f>
        <v>#DIV/0!</v>
      </c>
      <c r="S108" s="140" t="e">
        <f>+C67</f>
        <v>#DIV/0!</v>
      </c>
      <c r="T108" s="140" t="e">
        <f>C68</f>
        <v>#DIV/0!</v>
      </c>
      <c r="U108" s="140" t="e">
        <f>C69</f>
        <v>#DIV/0!</v>
      </c>
    </row>
    <row r="109" spans="1:21" ht="20.25" customHeight="1" x14ac:dyDescent="0.3">
      <c r="A109" s="867" t="s">
        <v>175</v>
      </c>
      <c r="B109" s="867"/>
      <c r="C109" s="867"/>
      <c r="D109" s="867"/>
      <c r="E109" s="138">
        <f>E108</f>
        <v>0</v>
      </c>
      <c r="F109" s="138"/>
      <c r="G109" s="153"/>
      <c r="H109" s="153"/>
      <c r="I109" s="153"/>
      <c r="J109" s="153"/>
      <c r="K109" s="153"/>
      <c r="L109" s="150" t="e">
        <f t="shared" ref="L109:U109" si="30">L108-K108</f>
        <v>#DIV/0!</v>
      </c>
      <c r="M109" s="138" t="e">
        <f t="shared" si="30"/>
        <v>#DIV/0!</v>
      </c>
      <c r="N109" s="138" t="e">
        <f t="shared" si="30"/>
        <v>#DIV/0!</v>
      </c>
      <c r="O109" s="138" t="e">
        <f t="shared" si="30"/>
        <v>#DIV/0!</v>
      </c>
      <c r="P109" s="140" t="e">
        <f t="shared" si="30"/>
        <v>#DIV/0!</v>
      </c>
      <c r="Q109" s="140" t="e">
        <f t="shared" si="30"/>
        <v>#DIV/0!</v>
      </c>
      <c r="R109" s="140" t="e">
        <f t="shared" si="30"/>
        <v>#DIV/0!</v>
      </c>
      <c r="S109" s="140" t="e">
        <f t="shared" si="30"/>
        <v>#DIV/0!</v>
      </c>
      <c r="T109" s="140" t="e">
        <f t="shared" si="30"/>
        <v>#DIV/0!</v>
      </c>
      <c r="U109" s="140" t="e">
        <f t="shared" si="30"/>
        <v>#DIV/0!</v>
      </c>
    </row>
    <row r="110" spans="1:21" ht="20.25" customHeight="1" x14ac:dyDescent="0.3">
      <c r="A110" s="867" t="s">
        <v>229</v>
      </c>
      <c r="B110" s="867"/>
      <c r="C110" s="867"/>
      <c r="D110" s="867"/>
      <c r="E110" s="139">
        <f>IF(E108&lt;8037,0,E108-8037)</f>
        <v>0</v>
      </c>
      <c r="F110" s="139"/>
      <c r="G110" s="104"/>
      <c r="H110" s="104"/>
      <c r="I110" s="104"/>
      <c r="J110" s="104"/>
      <c r="K110" s="104"/>
      <c r="L110" s="151" t="e">
        <f t="shared" ref="L110:U110" si="31">IF(L108&lt;5358,0,L108-5358)</f>
        <v>#DIV/0!</v>
      </c>
      <c r="M110" s="139" t="e">
        <f t="shared" si="31"/>
        <v>#DIV/0!</v>
      </c>
      <c r="N110" s="139" t="e">
        <f t="shared" si="31"/>
        <v>#DIV/0!</v>
      </c>
      <c r="O110" s="139" t="e">
        <f t="shared" si="31"/>
        <v>#DIV/0!</v>
      </c>
      <c r="P110" s="139" t="e">
        <f t="shared" si="31"/>
        <v>#DIV/0!</v>
      </c>
      <c r="Q110" s="139" t="e">
        <f t="shared" si="31"/>
        <v>#DIV/0!</v>
      </c>
      <c r="R110" s="139" t="e">
        <f t="shared" si="31"/>
        <v>#DIV/0!</v>
      </c>
      <c r="S110" s="139" t="e">
        <f t="shared" si="31"/>
        <v>#DIV/0!</v>
      </c>
      <c r="T110" s="139" t="e">
        <f t="shared" si="31"/>
        <v>#DIV/0!</v>
      </c>
      <c r="U110" s="139" t="e">
        <f t="shared" si="31"/>
        <v>#DIV/0!</v>
      </c>
    </row>
    <row r="111" spans="1:21" ht="20.25" customHeight="1" x14ac:dyDescent="0.3">
      <c r="A111" s="867" t="s">
        <v>230</v>
      </c>
      <c r="B111" s="867"/>
      <c r="C111" s="867"/>
      <c r="D111" s="867"/>
      <c r="E111" s="139">
        <f>E110</f>
        <v>0</v>
      </c>
      <c r="F111" s="139"/>
      <c r="G111" s="104"/>
      <c r="H111" s="104"/>
      <c r="I111" s="104"/>
      <c r="J111" s="104"/>
      <c r="K111" s="104"/>
      <c r="L111" s="151" t="e">
        <f t="shared" ref="L111:U111" si="32">L110-K110</f>
        <v>#DIV/0!</v>
      </c>
      <c r="M111" s="139" t="e">
        <f t="shared" si="32"/>
        <v>#DIV/0!</v>
      </c>
      <c r="N111" s="139" t="e">
        <f t="shared" si="32"/>
        <v>#DIV/0!</v>
      </c>
      <c r="O111" s="139" t="e">
        <f t="shared" si="32"/>
        <v>#DIV/0!</v>
      </c>
      <c r="P111" s="139" t="e">
        <f t="shared" si="32"/>
        <v>#DIV/0!</v>
      </c>
      <c r="Q111" s="139" t="e">
        <f t="shared" si="32"/>
        <v>#DIV/0!</v>
      </c>
      <c r="R111" s="139" t="e">
        <f t="shared" si="32"/>
        <v>#DIV/0!</v>
      </c>
      <c r="S111" s="139" t="e">
        <f t="shared" si="32"/>
        <v>#DIV/0!</v>
      </c>
      <c r="T111" s="139" t="e">
        <f t="shared" si="32"/>
        <v>#DIV/0!</v>
      </c>
      <c r="U111" s="139" t="e">
        <f t="shared" si="32"/>
        <v>#DIV/0!</v>
      </c>
    </row>
    <row r="113" spans="1:21" ht="0.75" hidden="1" customHeight="1" x14ac:dyDescent="0.3">
      <c r="E113" s="141" t="s">
        <v>145</v>
      </c>
      <c r="F113" s="141"/>
      <c r="G113" s="141"/>
      <c r="H113" s="141"/>
      <c r="I113" s="141"/>
      <c r="J113" s="141"/>
      <c r="K113" s="141" t="s">
        <v>146</v>
      </c>
      <c r="L113" s="141" t="s">
        <v>157</v>
      </c>
      <c r="M113" s="141" t="s">
        <v>158</v>
      </c>
      <c r="N113" s="141" t="s">
        <v>147</v>
      </c>
      <c r="O113" s="141" t="s">
        <v>148</v>
      </c>
      <c r="P113" s="141" t="s">
        <v>160</v>
      </c>
      <c r="Q113" s="141" t="s">
        <v>161</v>
      </c>
      <c r="R113" s="141" t="s">
        <v>162</v>
      </c>
      <c r="S113" s="141" t="s">
        <v>163</v>
      </c>
      <c r="T113" s="141" t="s">
        <v>164</v>
      </c>
      <c r="U113" s="141" t="s">
        <v>165</v>
      </c>
    </row>
    <row r="114" spans="1:21" ht="0.75" hidden="1" customHeight="1" x14ac:dyDescent="0.3">
      <c r="A114" s="874" t="s">
        <v>176</v>
      </c>
      <c r="B114" s="874"/>
      <c r="C114" s="874"/>
      <c r="D114" s="874"/>
      <c r="E114" s="136">
        <f t="shared" ref="E114:U114" si="33">E85+E88</f>
        <v>700.35</v>
      </c>
      <c r="F114" s="136"/>
      <c r="G114" s="136"/>
      <c r="H114" s="136"/>
      <c r="I114" s="136"/>
      <c r="J114" s="136"/>
      <c r="K114" s="136">
        <f t="shared" si="33"/>
        <v>0</v>
      </c>
      <c r="L114" s="136" t="e">
        <f t="shared" si="33"/>
        <v>#DIV/0!</v>
      </c>
      <c r="M114" s="136" t="e">
        <f t="shared" si="33"/>
        <v>#DIV/0!</v>
      </c>
      <c r="N114" s="136" t="e">
        <f t="shared" si="33"/>
        <v>#DIV/0!</v>
      </c>
      <c r="O114" s="136" t="e">
        <f t="shared" si="33"/>
        <v>#DIV/0!</v>
      </c>
      <c r="P114" s="136" t="e">
        <f t="shared" si="33"/>
        <v>#DIV/0!</v>
      </c>
      <c r="Q114" s="136" t="e">
        <f t="shared" si="33"/>
        <v>#DIV/0!</v>
      </c>
      <c r="R114" s="136" t="e">
        <f t="shared" si="33"/>
        <v>#DIV/0!</v>
      </c>
      <c r="S114" s="136" t="e">
        <f t="shared" si="33"/>
        <v>#DIV/0!</v>
      </c>
      <c r="T114" s="136" t="e">
        <f t="shared" si="33"/>
        <v>#DIV/0!</v>
      </c>
      <c r="U114" s="136" t="e">
        <f t="shared" si="33"/>
        <v>#DIV/0!</v>
      </c>
    </row>
    <row r="115" spans="1:21" ht="0.75" hidden="1" customHeight="1" x14ac:dyDescent="0.3">
      <c r="A115" s="874" t="s">
        <v>177</v>
      </c>
      <c r="B115" s="874"/>
      <c r="C115" s="874"/>
      <c r="D115" s="874"/>
      <c r="E115" s="136">
        <f>E91</f>
        <v>0</v>
      </c>
      <c r="F115" s="136"/>
      <c r="G115" s="136"/>
      <c r="H115" s="136"/>
      <c r="I115" s="136"/>
      <c r="J115" s="136"/>
      <c r="K115" s="136">
        <f>K91</f>
        <v>0</v>
      </c>
      <c r="L115" s="136" t="e">
        <f>L91</f>
        <v>#DIV/0!</v>
      </c>
      <c r="M115" s="136" t="e">
        <f>M91</f>
        <v>#DIV/0!</v>
      </c>
      <c r="N115" s="136" t="e">
        <f>N91</f>
        <v>#DIV/0!</v>
      </c>
      <c r="O115" s="122" t="e">
        <f t="shared" ref="O115:U115" si="34">+O91</f>
        <v>#DIV/0!</v>
      </c>
      <c r="P115" s="122" t="e">
        <f t="shared" si="34"/>
        <v>#DIV/0!</v>
      </c>
      <c r="Q115" s="122" t="e">
        <f t="shared" si="34"/>
        <v>#DIV/0!</v>
      </c>
      <c r="R115" s="122" t="e">
        <f t="shared" si="34"/>
        <v>#DIV/0!</v>
      </c>
      <c r="S115" s="122" t="e">
        <f t="shared" si="34"/>
        <v>#DIV/0!</v>
      </c>
      <c r="T115" s="122" t="e">
        <f t="shared" si="34"/>
        <v>#DIV/0!</v>
      </c>
      <c r="U115" s="122" t="e">
        <f t="shared" si="34"/>
        <v>#DIV/0!</v>
      </c>
    </row>
    <row r="116" spans="1:21" ht="0.75" hidden="1" customHeight="1" x14ac:dyDescent="0.3">
      <c r="A116" s="874" t="s">
        <v>178</v>
      </c>
      <c r="B116" s="874"/>
      <c r="C116" s="874"/>
      <c r="D116" s="874"/>
      <c r="E116" s="136">
        <f>E114+E115</f>
        <v>700.35</v>
      </c>
      <c r="F116" s="136"/>
      <c r="G116" s="136"/>
      <c r="H116" s="136"/>
      <c r="I116" s="136"/>
      <c r="J116" s="136"/>
      <c r="K116" s="136">
        <f>K115+K114+E116</f>
        <v>700.35</v>
      </c>
      <c r="L116" s="136" t="e">
        <f t="shared" ref="L116:U116" si="35">L115+L114+K116</f>
        <v>#DIV/0!</v>
      </c>
      <c r="M116" s="136" t="e">
        <f t="shared" si="35"/>
        <v>#DIV/0!</v>
      </c>
      <c r="N116" s="136" t="e">
        <f t="shared" si="35"/>
        <v>#DIV/0!</v>
      </c>
      <c r="O116" s="136" t="e">
        <f t="shared" si="35"/>
        <v>#DIV/0!</v>
      </c>
      <c r="P116" s="136" t="e">
        <f t="shared" si="35"/>
        <v>#DIV/0!</v>
      </c>
      <c r="Q116" s="136" t="e">
        <f t="shared" si="35"/>
        <v>#DIV/0!</v>
      </c>
      <c r="R116" s="136" t="e">
        <f t="shared" si="35"/>
        <v>#DIV/0!</v>
      </c>
      <c r="S116" s="136" t="e">
        <f t="shared" si="35"/>
        <v>#DIV/0!</v>
      </c>
      <c r="T116" s="136" t="e">
        <f t="shared" si="35"/>
        <v>#DIV/0!</v>
      </c>
      <c r="U116" s="136" t="e">
        <f t="shared" si="35"/>
        <v>#DIV/0!</v>
      </c>
    </row>
    <row r="117" spans="1:21" ht="0.75" hidden="1" customHeight="1" x14ac:dyDescent="0.3">
      <c r="A117" s="874" t="s">
        <v>179</v>
      </c>
      <c r="B117" s="874"/>
      <c r="C117" s="874"/>
      <c r="D117" s="874"/>
      <c r="E117" s="136">
        <f>D24</f>
        <v>3428</v>
      </c>
      <c r="F117" s="136"/>
      <c r="G117" s="136"/>
      <c r="H117" s="136"/>
      <c r="I117" s="136"/>
      <c r="J117" s="136"/>
      <c r="K117" s="136">
        <f>D25</f>
        <v>3428</v>
      </c>
      <c r="L117" s="136">
        <f>D26</f>
        <v>3428</v>
      </c>
      <c r="M117" s="136">
        <f>D27</f>
        <v>3428</v>
      </c>
      <c r="N117" s="136">
        <f>D28</f>
        <v>3428</v>
      </c>
      <c r="O117" s="98">
        <f>D29</f>
        <v>3428</v>
      </c>
      <c r="P117" s="98">
        <f>D30</f>
        <v>3428</v>
      </c>
      <c r="Q117" s="100"/>
      <c r="R117" s="100"/>
      <c r="S117" s="100"/>
      <c r="T117" s="100"/>
      <c r="U117" s="100"/>
    </row>
    <row r="118" spans="1:21" ht="0.75" hidden="1" customHeight="1" x14ac:dyDescent="0.3">
      <c r="A118" s="874" t="s">
        <v>180</v>
      </c>
      <c r="B118" s="874"/>
      <c r="C118" s="874"/>
      <c r="D118" s="874"/>
      <c r="E118" s="136">
        <f t="shared" ref="E118:U118" si="36">4*E117</f>
        <v>13712</v>
      </c>
      <c r="F118" s="136"/>
      <c r="G118" s="136"/>
      <c r="H118" s="136"/>
      <c r="I118" s="136"/>
      <c r="J118" s="136"/>
      <c r="K118" s="136">
        <f t="shared" si="36"/>
        <v>13712</v>
      </c>
      <c r="L118" s="136">
        <f t="shared" si="36"/>
        <v>13712</v>
      </c>
      <c r="M118" s="136">
        <f t="shared" si="36"/>
        <v>13712</v>
      </c>
      <c r="N118" s="136">
        <f t="shared" si="36"/>
        <v>13712</v>
      </c>
      <c r="O118" s="136">
        <f t="shared" si="36"/>
        <v>13712</v>
      </c>
      <c r="P118" s="136">
        <f t="shared" si="36"/>
        <v>13712</v>
      </c>
      <c r="Q118" s="136">
        <f t="shared" si="36"/>
        <v>0</v>
      </c>
      <c r="R118" s="136">
        <f t="shared" si="36"/>
        <v>0</v>
      </c>
      <c r="S118" s="136">
        <f t="shared" si="36"/>
        <v>0</v>
      </c>
      <c r="T118" s="136">
        <f t="shared" si="36"/>
        <v>0</v>
      </c>
      <c r="U118" s="136">
        <f t="shared" si="36"/>
        <v>0</v>
      </c>
    </row>
    <row r="119" spans="1:21" ht="0.75" hidden="1" customHeight="1" x14ac:dyDescent="0.3">
      <c r="A119" s="882" t="s">
        <v>181</v>
      </c>
      <c r="B119" s="883"/>
      <c r="C119" s="883"/>
      <c r="D119" s="884"/>
      <c r="E119" s="136">
        <f>'[3]BP  JANV. COMMENTE 1   '!G80+'[3]BP  JANV. COMMENTE 1   '!G81+'[3]BP  JANV. COMMENTE 1   '!G82+'[3]BP  JANV. COMMENTE 1   '!G83+'[3]BP  JANV. COMMENTE 1   '!G84+'[3]BP  JANV. COMMENTE 1   '!G85</f>
        <v>245.54</v>
      </c>
      <c r="F119" s="136"/>
      <c r="G119" s="136"/>
      <c r="H119" s="136"/>
      <c r="I119" s="136"/>
      <c r="J119" s="136"/>
      <c r="K119" s="136">
        <f>'[3]BP FEVRIER    '!G79+'[3]BP FEVRIER    '!G80+'[3]BP FEVRIER    '!G81+'[3]BP FEVRIER    '!G82+'[3]BP FEVRIER    '!G83+'[3]BP FEVRIER    '!G84+'[3]BP FEVRIER    '!G85</f>
        <v>0</v>
      </c>
      <c r="L119" s="136" t="e">
        <f>'[3]BP MARS   '!G79+'[3]BP MARS   '!G80+'[3]BP MARS   '!G81+'[3]BP MARS   '!G82+'[3]BP MARS   '!G83+'[3]BP MARS   '!G84+'[3]BP MARS   '!G85</f>
        <v>#DIV/0!</v>
      </c>
      <c r="M119" s="136" t="e">
        <f>'[3]BP AVRIL    '!G79+'[3]BP AVRIL    '!G80+'[3]BP AVRIL    '!G81+'[3]BP AVRIL    '!G82+'[3]BP AVRIL    '!G83+'[3]BP AVRIL    '!G84+'[3]BP AVRIL    '!G85</f>
        <v>#DIV/0!</v>
      </c>
      <c r="N119" s="136" t="e">
        <f>'[3]BP MAI     '!G79+'[3]BP MAI     '!G80+'[3]BP MAI     '!G81+'[3]BP MAI     '!G82+'[3]BP MAI     '!G83+'[3]BP MAI     '!G84+'[3]BP MAI     '!G87</f>
        <v>#DIV/0!</v>
      </c>
      <c r="O119" s="136" t="e">
        <f>'[3]BP  JUIN '!G79+'[3]BP  JUIN '!G80+'[3]BP  JUIN '!G81+'[3]BP  JUIN '!G82+'[3]BP  JUIN '!G83+'[3]BP  JUIN '!G84+'[3]BP  JUIN '!G87</f>
        <v>#DIV/0!</v>
      </c>
      <c r="P119" s="122" t="e">
        <f>+'[3]BP JUILLET '!G79+'[3]BP JUILLET '!G80+'[3]BP JUILLET '!G81+'[3]BP JUILLET '!G82+'[3]BP JUILLET '!G83+'[3]BP JUILLET '!G84+'[3]BP JUILLET '!G87</f>
        <v>#DIV/0!</v>
      </c>
      <c r="Q119" s="100"/>
      <c r="R119" s="100"/>
      <c r="S119" s="100"/>
      <c r="T119" s="100"/>
      <c r="U119" s="100"/>
    </row>
    <row r="120" spans="1:21" ht="0.75" hidden="1" customHeight="1" x14ac:dyDescent="0.3">
      <c r="A120" s="874" t="s">
        <v>182</v>
      </c>
      <c r="B120" s="874"/>
      <c r="C120" s="874"/>
      <c r="D120" s="874"/>
      <c r="E120" s="101">
        <f t="shared" ref="E120:U120" si="37">IF(E114&lt;=E118,E114*0.9825+E119,E118*0.9825+E114-E118+E119)</f>
        <v>933.63387499999999</v>
      </c>
      <c r="F120" s="101"/>
      <c r="G120" s="101"/>
      <c r="H120" s="101"/>
      <c r="I120" s="101"/>
      <c r="J120" s="101"/>
      <c r="K120" s="101">
        <f t="shared" si="37"/>
        <v>0</v>
      </c>
      <c r="L120" s="101" t="e">
        <f t="shared" si="37"/>
        <v>#DIV/0!</v>
      </c>
      <c r="M120" s="101" t="e">
        <f t="shared" si="37"/>
        <v>#DIV/0!</v>
      </c>
      <c r="N120" s="101" t="e">
        <f t="shared" si="37"/>
        <v>#DIV/0!</v>
      </c>
      <c r="O120" s="101" t="e">
        <f t="shared" si="37"/>
        <v>#DIV/0!</v>
      </c>
      <c r="P120" s="101" t="e">
        <f t="shared" si="37"/>
        <v>#DIV/0!</v>
      </c>
      <c r="Q120" s="101" t="e">
        <f t="shared" si="37"/>
        <v>#DIV/0!</v>
      </c>
      <c r="R120" s="101" t="e">
        <f t="shared" si="37"/>
        <v>#DIV/0!</v>
      </c>
      <c r="S120" s="101" t="e">
        <f t="shared" si="37"/>
        <v>#DIV/0!</v>
      </c>
      <c r="T120" s="101" t="e">
        <f t="shared" si="37"/>
        <v>#DIV/0!</v>
      </c>
      <c r="U120" s="101" t="e">
        <f t="shared" si="37"/>
        <v>#DIV/0!</v>
      </c>
    </row>
    <row r="121" spans="1:21" ht="0.75" hidden="1" customHeight="1" x14ac:dyDescent="0.3">
      <c r="A121" s="874" t="s">
        <v>183</v>
      </c>
      <c r="B121" s="874"/>
      <c r="C121" s="874"/>
      <c r="D121" s="874"/>
      <c r="E121" s="4"/>
      <c r="F121" s="4"/>
      <c r="G121" s="4"/>
      <c r="H121" s="4"/>
      <c r="I121" s="4"/>
      <c r="J121" s="4"/>
      <c r="K121" s="4"/>
      <c r="L121" s="4"/>
      <c r="M121" s="4"/>
      <c r="N121" s="4"/>
      <c r="O121" s="4"/>
    </row>
    <row r="122" spans="1:21" ht="0.75" hidden="1" customHeight="1" x14ac:dyDescent="0.3"/>
    <row r="123" spans="1:21" ht="0.75" hidden="1" customHeight="1" x14ac:dyDescent="0.3"/>
    <row r="124" spans="1:21" ht="0.75" hidden="1" customHeight="1" x14ac:dyDescent="0.3">
      <c r="B124" s="4">
        <v>13000</v>
      </c>
      <c r="D124" s="57">
        <v>1000</v>
      </c>
    </row>
    <row r="125" spans="1:21" x14ac:dyDescent="0.3">
      <c r="B125" t="s">
        <v>410</v>
      </c>
      <c r="C125" s="2" t="str">
        <f>'BP FORMAT JUILLET 2023'!C33</f>
        <v xml:space="preserve">Non applicable </v>
      </c>
    </row>
    <row r="126" spans="1:21" x14ac:dyDescent="0.3">
      <c r="I126" s="10"/>
    </row>
    <row r="127" spans="1:21" x14ac:dyDescent="0.3">
      <c r="A127" t="s">
        <v>186</v>
      </c>
    </row>
    <row r="129" spans="1:11" s="58" customFormat="1" x14ac:dyDescent="0.3">
      <c r="A129">
        <v>3</v>
      </c>
      <c r="B129" s="872" t="s">
        <v>189</v>
      </c>
      <c r="C129" s="873"/>
      <c r="D129" s="458" t="e">
        <f>4*C125</f>
        <v>#VALUE!</v>
      </c>
      <c r="F129" s="63"/>
      <c r="H129" s="454"/>
    </row>
    <row r="130" spans="1:11" s="58" customFormat="1" x14ac:dyDescent="0.3">
      <c r="A130">
        <v>4</v>
      </c>
      <c r="B130" s="849" t="s">
        <v>187</v>
      </c>
      <c r="C130" s="851"/>
      <c r="D130" s="458">
        <f>E85+E90</f>
        <v>700.35</v>
      </c>
      <c r="E130" s="451"/>
      <c r="F130" s="452"/>
      <c r="K130" s="164"/>
    </row>
    <row r="131" spans="1:11" s="58" customFormat="1" x14ac:dyDescent="0.3">
      <c r="A131">
        <v>5</v>
      </c>
      <c r="B131" s="849" t="s">
        <v>188</v>
      </c>
      <c r="C131" s="851"/>
      <c r="D131" s="458">
        <f>E57</f>
        <v>0</v>
      </c>
      <c r="E131" s="451"/>
      <c r="F131" s="452"/>
      <c r="K131" s="164"/>
    </row>
    <row r="132" spans="1:11" s="58" customFormat="1" x14ac:dyDescent="0.3">
      <c r="A132">
        <v>6</v>
      </c>
      <c r="B132" s="849" t="s">
        <v>413</v>
      </c>
      <c r="C132" s="851"/>
      <c r="D132" s="459">
        <f>G57</f>
        <v>0</v>
      </c>
      <c r="E132" s="451"/>
      <c r="F132" s="452"/>
      <c r="H132" s="455"/>
      <c r="K132" s="164"/>
    </row>
    <row r="133" spans="1:11" s="58" customFormat="1" x14ac:dyDescent="0.3">
      <c r="A133">
        <v>7</v>
      </c>
      <c r="B133" s="849" t="s">
        <v>185</v>
      </c>
      <c r="C133" s="851"/>
      <c r="D133" s="458">
        <f>D130+D131+D132</f>
        <v>700.35</v>
      </c>
      <c r="E133" s="453"/>
      <c r="F133" s="452"/>
      <c r="H133" s="455"/>
    </row>
    <row r="134" spans="1:11" s="58" customFormat="1" x14ac:dyDescent="0.3">
      <c r="A134">
        <v>8</v>
      </c>
      <c r="B134" s="849" t="s">
        <v>190</v>
      </c>
      <c r="C134" s="851"/>
      <c r="D134" s="458">
        <f>E98+E99</f>
        <v>0</v>
      </c>
      <c r="H134" s="165"/>
      <c r="I134" s="165"/>
    </row>
    <row r="135" spans="1:11" s="58" customFormat="1" x14ac:dyDescent="0.3">
      <c r="A135">
        <v>9</v>
      </c>
      <c r="F135" s="309" t="s">
        <v>59</v>
      </c>
      <c r="H135" s="165"/>
      <c r="I135" s="165"/>
      <c r="K135" s="63"/>
    </row>
    <row r="136" spans="1:11" s="58" customFormat="1" x14ac:dyDescent="0.3">
      <c r="A136">
        <v>10</v>
      </c>
      <c r="B136" s="858" t="s">
        <v>196</v>
      </c>
      <c r="C136" s="859"/>
      <c r="D136" s="860"/>
      <c r="E136" s="59">
        <v>6.8000000000000005E-2</v>
      </c>
      <c r="F136" s="167" t="e">
        <f>IF(D133&lt;D129,D130*0.9825+D134,IF(D130&gt;D129,D129*0.9825+D130-D129+D134, D130*0.9825+D134))</f>
        <v>#VALUE!</v>
      </c>
      <c r="H136" s="10"/>
      <c r="I136" s="166"/>
    </row>
    <row r="137" spans="1:11" s="58" customFormat="1" x14ac:dyDescent="0.3">
      <c r="A137">
        <v>11</v>
      </c>
      <c r="B137" s="858" t="s">
        <v>191</v>
      </c>
      <c r="C137" s="859"/>
      <c r="D137" s="860"/>
      <c r="E137" s="59">
        <v>6.8000000000000005E-2</v>
      </c>
      <c r="F137" s="456" t="e">
        <f>IF(D133&gt;D129,IF(D130&gt;D129,D131,IF((D129-D130)&gt;D132,(D129-D130-D132)*0.9825+D131-(D129-D130-D132),D131)),D131*0.9825)</f>
        <v>#VALUE!</v>
      </c>
      <c r="H137" s="166"/>
      <c r="I137" s="166"/>
      <c r="J137" s="63"/>
    </row>
    <row r="138" spans="1:11" s="58" customFormat="1" x14ac:dyDescent="0.3">
      <c r="A138">
        <v>12</v>
      </c>
      <c r="B138" s="858" t="s">
        <v>192</v>
      </c>
      <c r="C138" s="859"/>
      <c r="D138" s="860"/>
      <c r="E138" s="59">
        <v>6.8000000000000005E-2</v>
      </c>
      <c r="F138" s="457" t="e">
        <f>IF(D133&lt;D129,D132*0.9825,IF(D130&gt;D129,D132,IF((D129-D130)&gt;D132,D132*0.9825,(D129-D130)*0.9825+D132-(D129-D130))))</f>
        <v>#VALUE!</v>
      </c>
      <c r="H138" s="63"/>
    </row>
    <row r="139" spans="1:11" s="58" customFormat="1" x14ac:dyDescent="0.3">
      <c r="A139">
        <v>13</v>
      </c>
      <c r="B139" s="858" t="s">
        <v>193</v>
      </c>
      <c r="C139" s="859"/>
      <c r="D139" s="860"/>
      <c r="E139" s="59">
        <v>2.9000000000000001E-2</v>
      </c>
      <c r="F139" s="61" t="e">
        <f>F136</f>
        <v>#VALUE!</v>
      </c>
    </row>
    <row r="140" spans="1:11" s="58" customFormat="1" x14ac:dyDescent="0.3">
      <c r="A140">
        <v>14</v>
      </c>
      <c r="B140" s="858" t="s">
        <v>194</v>
      </c>
      <c r="C140" s="859"/>
      <c r="D140" s="860"/>
      <c r="E140" s="59">
        <v>2.9000000000000001E-2</v>
      </c>
      <c r="F140" s="61" t="e">
        <f>F137+F138</f>
        <v>#VALUE!</v>
      </c>
    </row>
    <row r="141" spans="1:11" s="58" customFormat="1" x14ac:dyDescent="0.3">
      <c r="A141">
        <v>15</v>
      </c>
      <c r="B141" s="858" t="s">
        <v>195</v>
      </c>
      <c r="C141" s="859"/>
      <c r="D141" s="860"/>
      <c r="E141" s="183" t="e">
        <f>'HEURES SUPPLEMENTAIRES '!D57</f>
        <v>#DIV/0!</v>
      </c>
      <c r="F141" s="61">
        <f>D131</f>
        <v>0</v>
      </c>
    </row>
    <row r="143" spans="1:11" x14ac:dyDescent="0.3">
      <c r="A143" t="s">
        <v>757</v>
      </c>
    </row>
    <row r="144" spans="1:11" x14ac:dyDescent="0.3">
      <c r="A144" s="576">
        <v>45778</v>
      </c>
      <c r="B144" t="s">
        <v>758</v>
      </c>
    </row>
    <row r="145" spans="1:2" x14ac:dyDescent="0.3">
      <c r="A145" s="577">
        <f>IF('Masque de Saisie'!G9&lt;20,IF('Masque de Saisie'!E38&lt;A144,('BP FORMAT JUILLET 2023'!G20+'BP FORMAT JUILLET 2023'!G21+'BP FORMAT JUILLET 2023'!G22)*1.5,0),IF('Masque de Saisie'!G9&gt;=250,0,0.5*('BP FORMAT JUILLET 2023'!G20+'BP FORMAT JUILLET 2023'!G21+'BP FORMAT JUILLET 2023'!G22)))</f>
        <v>0</v>
      </c>
      <c r="B145" t="s">
        <v>759</v>
      </c>
    </row>
  </sheetData>
  <mergeCells count="62">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I54"/>
  <sheetViews>
    <sheetView topLeftCell="A31" zoomScale="110" zoomScaleNormal="110" workbookViewId="0">
      <selection activeCell="G45" sqref="G45"/>
    </sheetView>
  </sheetViews>
  <sheetFormatPr baseColWidth="10" defaultRowHeight="14.4" x14ac:dyDescent="0.3"/>
  <cols>
    <col min="2" max="2" width="25.5546875" customWidth="1"/>
    <col min="3" max="3" width="22" customWidth="1"/>
    <col min="5" max="5" width="18.88671875" bestFit="1" customWidth="1"/>
  </cols>
  <sheetData>
    <row r="1" spans="2:9" x14ac:dyDescent="0.3">
      <c r="B1" s="58" t="s">
        <v>498</v>
      </c>
    </row>
    <row r="2" spans="2:9" x14ac:dyDescent="0.3">
      <c r="B2" s="58"/>
    </row>
    <row r="3" spans="2:9" s="58" customFormat="1" ht="13.8" x14ac:dyDescent="0.25"/>
    <row r="4" spans="2:9" s="58" customFormat="1" ht="13.8" x14ac:dyDescent="0.25">
      <c r="B4" s="867" t="s">
        <v>499</v>
      </c>
      <c r="E4" s="58" t="s">
        <v>504</v>
      </c>
    </row>
    <row r="5" spans="2:9" s="58" customFormat="1" ht="13.8" x14ac:dyDescent="0.25">
      <c r="B5" s="867"/>
      <c r="D5" s="496"/>
      <c r="E5" s="58" t="s">
        <v>505</v>
      </c>
    </row>
    <row r="6" spans="2:9" s="58" customFormat="1" ht="13.8" x14ac:dyDescent="0.25"/>
    <row r="7" spans="2:9" s="58" customFormat="1" ht="13.8" x14ac:dyDescent="0.25"/>
    <row r="8" spans="2:9" s="58" customFormat="1" ht="13.8" x14ac:dyDescent="0.25">
      <c r="B8" s="885" t="s">
        <v>472</v>
      </c>
      <c r="D8" s="869" t="s">
        <v>474</v>
      </c>
      <c r="E8" s="869"/>
      <c r="F8" s="869"/>
      <c r="G8" s="507">
        <f>'BP VERSION JANVIER 2023'!J33</f>
        <v>700.35</v>
      </c>
    </row>
    <row r="9" spans="2:9" s="58" customFormat="1" ht="25.5" customHeight="1" x14ac:dyDescent="0.25">
      <c r="B9" s="885"/>
      <c r="D9" s="503" t="s">
        <v>475</v>
      </c>
      <c r="E9" s="388"/>
      <c r="F9" s="388"/>
      <c r="G9" s="507">
        <f>-'BP VERSION JANVIER 2023'!F73</f>
        <v>0</v>
      </c>
    </row>
    <row r="10" spans="2:9" s="58" customFormat="1" ht="15" customHeight="1" x14ac:dyDescent="0.25">
      <c r="B10" s="885"/>
      <c r="D10" s="697" t="s">
        <v>494</v>
      </c>
      <c r="E10" s="886"/>
      <c r="F10" s="698"/>
      <c r="G10" s="507">
        <f>-'BP VERSION JANVIER 2023'!F74</f>
        <v>-138</v>
      </c>
    </row>
    <row r="11" spans="2:9" s="58" customFormat="1" ht="15" customHeight="1" x14ac:dyDescent="0.25">
      <c r="B11" s="885"/>
      <c r="D11" s="697" t="s">
        <v>55</v>
      </c>
      <c r="E11" s="886"/>
      <c r="F11" s="698"/>
      <c r="G11" s="507">
        <f>'BP VERSION JANVIER 2023'!F75</f>
        <v>44.4</v>
      </c>
      <c r="I11" s="58" t="s">
        <v>506</v>
      </c>
    </row>
    <row r="12" spans="2:9" s="58" customFormat="1" ht="25.5" customHeight="1" x14ac:dyDescent="0.25">
      <c r="B12" s="885"/>
      <c r="D12" s="697" t="s">
        <v>495</v>
      </c>
      <c r="E12" s="886"/>
      <c r="F12" s="698"/>
      <c r="G12" s="507"/>
    </row>
    <row r="13" spans="2:9" s="58" customFormat="1" ht="13.8" x14ac:dyDescent="0.25">
      <c r="B13" s="885"/>
      <c r="D13" s="872" t="s">
        <v>476</v>
      </c>
      <c r="E13" s="887"/>
      <c r="F13" s="873"/>
      <c r="G13" s="509">
        <f>'BP VERSION JANVIER 2023'!F77</f>
        <v>0</v>
      </c>
    </row>
    <row r="14" spans="2:9" s="58" customFormat="1" ht="13.8" x14ac:dyDescent="0.25">
      <c r="B14" s="885"/>
      <c r="G14" s="497">
        <f>SUM(G8:G13)</f>
        <v>606.75</v>
      </c>
      <c r="H14" s="507">
        <f>'BP VERSION JANVIER 2023'!J78</f>
        <v>606.75</v>
      </c>
      <c r="I14" s="507">
        <f>'BP FORMAT JUILLET 2023'!J84</f>
        <v>606.75</v>
      </c>
    </row>
    <row r="15" spans="2:9" s="58" customFormat="1" ht="13.8" x14ac:dyDescent="0.25">
      <c r="B15" s="502"/>
    </row>
    <row r="16" spans="2:9" s="58" customFormat="1" ht="13.8" x14ac:dyDescent="0.25"/>
    <row r="17" spans="2:9" s="58" customFormat="1" ht="13.8" x14ac:dyDescent="0.25">
      <c r="B17" s="885" t="s">
        <v>61</v>
      </c>
      <c r="D17" s="869" t="s">
        <v>474</v>
      </c>
      <c r="E17" s="869"/>
      <c r="F17" s="869"/>
      <c r="G17" s="507">
        <f>'BP VERSION JANVIER 2023'!J33</f>
        <v>700.35</v>
      </c>
      <c r="H17" s="58" t="s">
        <v>932</v>
      </c>
    </row>
    <row r="18" spans="2:9" s="58" customFormat="1" ht="13.8" x14ac:dyDescent="0.25">
      <c r="B18" s="885"/>
      <c r="D18" s="805" t="s">
        <v>475</v>
      </c>
      <c r="E18" s="805"/>
      <c r="F18" s="805"/>
      <c r="G18" s="507">
        <f>-'BP VERSION JANVIER 2023'!F73</f>
        <v>0</v>
      </c>
      <c r="I18" s="58" t="s">
        <v>933</v>
      </c>
    </row>
    <row r="19" spans="2:9" s="58" customFormat="1" ht="13.8" x14ac:dyDescent="0.25">
      <c r="B19" s="885"/>
      <c r="D19" s="869" t="s">
        <v>477</v>
      </c>
      <c r="E19" s="869"/>
      <c r="F19" s="869"/>
      <c r="G19" s="507">
        <f>'BP VERSION JANVIER 2023'!G38</f>
        <v>0</v>
      </c>
    </row>
    <row r="20" spans="2:9" s="58" customFormat="1" ht="13.8" x14ac:dyDescent="0.25">
      <c r="B20" s="885"/>
      <c r="D20" s="869" t="s">
        <v>478</v>
      </c>
      <c r="E20" s="869"/>
      <c r="F20" s="869"/>
      <c r="G20" s="507"/>
    </row>
    <row r="21" spans="2:9" s="58" customFormat="1" ht="13.8" x14ac:dyDescent="0.25">
      <c r="B21" s="885"/>
      <c r="D21" s="869" t="s">
        <v>479</v>
      </c>
      <c r="E21" s="869"/>
      <c r="F21" s="869"/>
      <c r="G21" s="507">
        <f>'BP VERSION JANVIER 2023'!F67</f>
        <v>0</v>
      </c>
    </row>
    <row r="22" spans="2:9" s="58" customFormat="1" ht="13.8" x14ac:dyDescent="0.25">
      <c r="B22" s="885"/>
      <c r="G22" s="497">
        <f>SUM(G17:G21)</f>
        <v>700.35</v>
      </c>
      <c r="H22" s="507">
        <f>'BP VERSION JANVIER 2023'!J87</f>
        <v>0</v>
      </c>
      <c r="I22" s="507">
        <f>'BP FORMAT JUILLET 2023'!J85</f>
        <v>700.35</v>
      </c>
    </row>
    <row r="23" spans="2:9" s="58" customFormat="1" ht="13.8" x14ac:dyDescent="0.25">
      <c r="B23" s="502"/>
      <c r="G23" s="455"/>
    </row>
    <row r="24" spans="2:9" s="58" customFormat="1" ht="13.8" x14ac:dyDescent="0.25"/>
    <row r="25" spans="2:9" s="58" customFormat="1" ht="13.8" x14ac:dyDescent="0.25">
      <c r="B25" s="889" t="s">
        <v>480</v>
      </c>
      <c r="D25" s="869" t="s">
        <v>61</v>
      </c>
      <c r="E25" s="869"/>
      <c r="F25" s="869"/>
      <c r="G25" s="497">
        <f>'BP VERSION JANVIER 2023'!J87</f>
        <v>0</v>
      </c>
      <c r="H25" s="58" t="s">
        <v>932</v>
      </c>
    </row>
    <row r="26" spans="2:9" s="58" customFormat="1" ht="13.8" x14ac:dyDescent="0.25">
      <c r="B26" s="889"/>
      <c r="D26" s="869" t="s">
        <v>496</v>
      </c>
      <c r="E26" s="869"/>
      <c r="F26" s="869"/>
      <c r="G26" s="504"/>
    </row>
    <row r="27" spans="2:9" s="58" customFormat="1" ht="13.8" x14ac:dyDescent="0.25">
      <c r="B27" s="889"/>
      <c r="D27" s="888" t="s">
        <v>497</v>
      </c>
      <c r="E27" s="888"/>
      <c r="F27" s="888"/>
      <c r="G27" s="504"/>
    </row>
    <row r="28" spans="2:9" s="58" customFormat="1" ht="13.8" x14ac:dyDescent="0.25">
      <c r="B28" s="889"/>
      <c r="G28" s="497">
        <f>SUM(G25:G27)</f>
        <v>0</v>
      </c>
      <c r="H28" s="507">
        <f>'BP VERSION JANVIER 2023'!D83</f>
        <v>0</v>
      </c>
      <c r="I28" s="507">
        <f>'BP FORMAT JUILLET 2023'!D89</f>
        <v>0</v>
      </c>
    </row>
    <row r="29" spans="2:9" s="58" customFormat="1" ht="13.8" x14ac:dyDescent="0.25"/>
    <row r="30" spans="2:9" s="58" customFormat="1" ht="13.8" x14ac:dyDescent="0.25">
      <c r="B30" s="885" t="s">
        <v>481</v>
      </c>
    </row>
    <row r="31" spans="2:9" s="58" customFormat="1" ht="13.8" x14ac:dyDescent="0.25">
      <c r="B31" s="885"/>
      <c r="D31" s="869" t="s">
        <v>477</v>
      </c>
      <c r="E31" s="869"/>
      <c r="F31" s="869"/>
      <c r="G31" s="507">
        <f>'BP VERSION JANVIER 2023'!G38</f>
        <v>0</v>
      </c>
    </row>
    <row r="32" spans="2:9" s="58" customFormat="1" ht="13.8" x14ac:dyDescent="0.25">
      <c r="B32" s="885"/>
      <c r="D32" s="869" t="s">
        <v>482</v>
      </c>
      <c r="E32" s="869"/>
      <c r="F32" s="869"/>
      <c r="G32" s="507"/>
    </row>
    <row r="33" spans="2:9" s="58" customFormat="1" ht="13.8" x14ac:dyDescent="0.25">
      <c r="B33" s="885"/>
      <c r="D33" s="869" t="s">
        <v>483</v>
      </c>
      <c r="E33" s="869"/>
      <c r="F33" s="869"/>
      <c r="G33" s="507">
        <f>'BP VERSION JANVIER 2023'!G41</f>
        <v>0</v>
      </c>
    </row>
    <row r="34" spans="2:9" s="58" customFormat="1" ht="13.8" x14ac:dyDescent="0.25">
      <c r="G34" s="497">
        <f>SUM(G31:G33)</f>
        <v>0</v>
      </c>
      <c r="H34" s="504">
        <f>'BP VERSION JANVIER 2023'!C113</f>
        <v>0</v>
      </c>
      <c r="I34" s="504">
        <f>'BP FORMAT JUILLET 2023'!C131</f>
        <v>0</v>
      </c>
    </row>
    <row r="35" spans="2:9" s="58" customFormat="1" ht="13.8" x14ac:dyDescent="0.25">
      <c r="G35" s="455"/>
      <c r="H35" s="454"/>
      <c r="I35" s="454"/>
    </row>
    <row r="36" spans="2:9" s="58" customFormat="1" ht="13.8" x14ac:dyDescent="0.25">
      <c r="B36" s="885" t="s">
        <v>484</v>
      </c>
      <c r="D36" s="869" t="s">
        <v>485</v>
      </c>
      <c r="E36" s="869"/>
      <c r="F36" s="869"/>
      <c r="G36" s="510">
        <f>'BP FORMAT JUILLET 2023'!C128*0.9825</f>
        <v>0</v>
      </c>
    </row>
    <row r="37" spans="2:9" s="58" customFormat="1" ht="13.8" x14ac:dyDescent="0.25">
      <c r="B37" s="885"/>
      <c r="D37" s="869" t="s">
        <v>486</v>
      </c>
      <c r="E37" s="869"/>
      <c r="F37" s="869"/>
      <c r="G37" s="510">
        <f>G31+G32</f>
        <v>0</v>
      </c>
    </row>
    <row r="38" spans="2:9" s="58" customFormat="1" ht="13.8" x14ac:dyDescent="0.25">
      <c r="B38" s="885"/>
      <c r="D38" s="869" t="s">
        <v>507</v>
      </c>
      <c r="E38" s="869"/>
      <c r="F38" s="869"/>
      <c r="G38" s="510">
        <f>G33</f>
        <v>0</v>
      </c>
    </row>
    <row r="39" spans="2:9" s="58" customFormat="1" ht="13.8" x14ac:dyDescent="0.25">
      <c r="B39" s="885"/>
      <c r="G39" s="498">
        <f>SUM(G36:G38)</f>
        <v>0</v>
      </c>
      <c r="H39" s="507">
        <f>'BP VERSION JANVIER 2023'!C66</f>
        <v>0</v>
      </c>
      <c r="I39" s="507">
        <f>'BP FORMAT JUILLET 2023'!C66</f>
        <v>0</v>
      </c>
    </row>
    <row r="40" spans="2:9" s="58" customFormat="1" ht="13.8" x14ac:dyDescent="0.25"/>
    <row r="41" spans="2:9" x14ac:dyDescent="0.3">
      <c r="B41" s="58"/>
      <c r="C41" s="388" t="s">
        <v>487</v>
      </c>
      <c r="D41" s="58"/>
      <c r="E41" s="388" t="s">
        <v>488</v>
      </c>
      <c r="F41" s="58"/>
      <c r="G41" s="309" t="s">
        <v>489</v>
      </c>
    </row>
    <row r="42" spans="2:9" s="58" customFormat="1" ht="13.8" x14ac:dyDescent="0.25">
      <c r="B42" s="58" t="s">
        <v>472</v>
      </c>
      <c r="C42" s="497">
        <f>H14</f>
        <v>606.75</v>
      </c>
      <c r="E42" s="497">
        <f>I14</f>
        <v>606.75</v>
      </c>
      <c r="G42" s="497">
        <f>C42-E42</f>
        <v>0</v>
      </c>
    </row>
    <row r="43" spans="2:9" s="58" customFormat="1" ht="13.8" x14ac:dyDescent="0.25">
      <c r="B43" s="58" t="s">
        <v>61</v>
      </c>
      <c r="C43" s="497">
        <f>G22</f>
        <v>700.35</v>
      </c>
      <c r="E43" s="497">
        <f>I22</f>
        <v>700.35</v>
      </c>
      <c r="G43" s="497">
        <f t="shared" ref="G43:G50" si="0">C43-E43</f>
        <v>0</v>
      </c>
    </row>
    <row r="44" spans="2:9" s="58" customFormat="1" ht="13.8" x14ac:dyDescent="0.25">
      <c r="B44" s="58" t="s">
        <v>480</v>
      </c>
      <c r="C44" s="497">
        <f>G28</f>
        <v>0</v>
      </c>
      <c r="E44" s="498">
        <f>I28</f>
        <v>0</v>
      </c>
      <c r="G44" s="497">
        <f t="shared" si="0"/>
        <v>0</v>
      </c>
    </row>
    <row r="45" spans="2:9" s="58" customFormat="1" ht="13.8" x14ac:dyDescent="0.25">
      <c r="B45" s="58" t="s">
        <v>500</v>
      </c>
      <c r="C45" s="497">
        <f>H34</f>
        <v>0</v>
      </c>
      <c r="E45" s="489">
        <f>I34</f>
        <v>0</v>
      </c>
      <c r="G45" s="497">
        <f t="shared" si="0"/>
        <v>0</v>
      </c>
    </row>
    <row r="46" spans="2:9" s="58" customFormat="1" ht="13.8" x14ac:dyDescent="0.25">
      <c r="B46" s="58" t="s">
        <v>490</v>
      </c>
      <c r="C46" s="504">
        <f>'BP VERSION JANVIER 2023'!F73</f>
        <v>0</v>
      </c>
      <c r="E46" s="507">
        <f>'BP FORMAT JUILLET 2023'!F73+'BP FORMAT JUILLET 2023'!F76</f>
        <v>0</v>
      </c>
      <c r="G46" s="497">
        <f t="shared" si="0"/>
        <v>0</v>
      </c>
    </row>
    <row r="47" spans="2:9" x14ac:dyDescent="0.3">
      <c r="B47" s="58" t="s">
        <v>491</v>
      </c>
      <c r="C47" s="505">
        <f>'BP VERSION JANVIER 2023'!G73</f>
        <v>0</v>
      </c>
      <c r="E47" s="505">
        <f>'BP FORMAT JUILLET 2023'!G73+'BP FORMAT JUILLET 2023'!G76</f>
        <v>0</v>
      </c>
      <c r="G47" s="497">
        <f t="shared" si="0"/>
        <v>0</v>
      </c>
    </row>
    <row r="48" spans="2:9" x14ac:dyDescent="0.3">
      <c r="B48" s="58" t="s">
        <v>501</v>
      </c>
      <c r="C48" s="508">
        <f>H39</f>
        <v>0</v>
      </c>
      <c r="E48" s="508">
        <f>I39</f>
        <v>0</v>
      </c>
      <c r="G48" s="497">
        <f t="shared" si="0"/>
        <v>0</v>
      </c>
    </row>
    <row r="49" spans="2:7" x14ac:dyDescent="0.3">
      <c r="B49" s="58" t="s">
        <v>492</v>
      </c>
      <c r="C49" s="505">
        <f>'BP VERSION JANVIER 2023'!G71</f>
        <v>0</v>
      </c>
      <c r="E49" s="506">
        <f>'BP FORMAT JUILLET 2023'!G71</f>
        <v>0</v>
      </c>
      <c r="G49" s="497">
        <f t="shared" si="0"/>
        <v>0</v>
      </c>
    </row>
    <row r="50" spans="2:7" x14ac:dyDescent="0.3">
      <c r="B50" s="58" t="s">
        <v>493</v>
      </c>
      <c r="C50" s="655">
        <f>'BP VERSION JANVIER 2023'!J85</f>
        <v>54.627300000000005</v>
      </c>
      <c r="D50" s="656"/>
      <c r="E50" s="655">
        <f>'BP FORMAT JUILLET 2023'!J91</f>
        <v>54.627300000000005</v>
      </c>
      <c r="G50" s="497">
        <f t="shared" si="0"/>
        <v>0</v>
      </c>
    </row>
    <row r="53" spans="2:7" x14ac:dyDescent="0.3">
      <c r="B53" s="58" t="s">
        <v>502</v>
      </c>
    </row>
    <row r="54" spans="2:7" x14ac:dyDescent="0.3">
      <c r="B54" s="58" t="s">
        <v>503</v>
      </c>
    </row>
  </sheetData>
  <mergeCells count="25">
    <mergeCell ref="D31:F31"/>
    <mergeCell ref="D32:F32"/>
    <mergeCell ref="D33:F33"/>
    <mergeCell ref="B4:B5"/>
    <mergeCell ref="B8:B14"/>
    <mergeCell ref="B17:B22"/>
    <mergeCell ref="B25:B28"/>
    <mergeCell ref="B30:B33"/>
    <mergeCell ref="D8:F8"/>
    <mergeCell ref="D36:F36"/>
    <mergeCell ref="D37:F37"/>
    <mergeCell ref="D38:F38"/>
    <mergeCell ref="B36:B39"/>
    <mergeCell ref="D10:F10"/>
    <mergeCell ref="D11:F11"/>
    <mergeCell ref="D12:F12"/>
    <mergeCell ref="D13:F13"/>
    <mergeCell ref="D17:F17"/>
    <mergeCell ref="D18:F18"/>
    <mergeCell ref="D19:F19"/>
    <mergeCell ref="D20:F20"/>
    <mergeCell ref="D21:F21"/>
    <mergeCell ref="D25:F25"/>
    <mergeCell ref="D26:F26"/>
    <mergeCell ref="D27:F27"/>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5165E-8203-47AF-A9F8-31E011866652}">
  <dimension ref="A1:K29"/>
  <sheetViews>
    <sheetView workbookViewId="0">
      <selection sqref="A1:XFD1048576"/>
    </sheetView>
  </sheetViews>
  <sheetFormatPr baseColWidth="10" defaultRowHeight="15.6" x14ac:dyDescent="0.3"/>
  <cols>
    <col min="1" max="3" width="23.21875" style="187" customWidth="1"/>
    <col min="4" max="16384" width="11.5546875" style="187"/>
  </cols>
  <sheetData>
    <row r="1" spans="1:11" x14ac:dyDescent="0.3">
      <c r="B1" s="890" t="s">
        <v>854</v>
      </c>
      <c r="C1" s="890"/>
      <c r="D1" s="890"/>
      <c r="E1" s="890"/>
      <c r="F1" s="890"/>
      <c r="G1" s="890"/>
      <c r="H1" s="890"/>
    </row>
    <row r="2" spans="1:11" x14ac:dyDescent="0.3">
      <c r="A2" s="187" t="s">
        <v>855</v>
      </c>
      <c r="E2" s="188"/>
    </row>
    <row r="3" spans="1:11" x14ac:dyDescent="0.3">
      <c r="A3" s="187" t="s">
        <v>856</v>
      </c>
      <c r="E3" s="188"/>
    </row>
    <row r="4" spans="1:11" x14ac:dyDescent="0.3">
      <c r="E4" s="188"/>
    </row>
    <row r="5" spans="1:11" x14ac:dyDescent="0.3">
      <c r="E5" s="188"/>
      <c r="G5" s="187" t="s">
        <v>857</v>
      </c>
      <c r="K5" s="633">
        <v>45778</v>
      </c>
    </row>
    <row r="6" spans="1:11" x14ac:dyDescent="0.3">
      <c r="B6" s="38" t="s">
        <v>104</v>
      </c>
      <c r="C6" s="38" t="s">
        <v>105</v>
      </c>
      <c r="D6" s="38" t="s">
        <v>106</v>
      </c>
      <c r="E6" s="38"/>
      <c r="G6" s="187" t="s">
        <v>858</v>
      </c>
      <c r="K6" s="190"/>
    </row>
    <row r="7" spans="1:11" x14ac:dyDescent="0.3">
      <c r="A7" s="628">
        <v>0</v>
      </c>
      <c r="B7" s="632">
        <f>IF('BP FORMAT JUILLET 2023'!$H$10&lt;'TAUX NEUTRE '!$K$5,'TAUX NEUTRE JANVIER  '!C7,'TAUX NEUTRE  MAI '!B7)</f>
        <v>1620</v>
      </c>
      <c r="C7" s="629">
        <v>0</v>
      </c>
      <c r="D7" s="516">
        <f t="shared" ref="D7:D26" si="0" xml:space="preserve"> IF($H$11&gt;=A7,IF($H$11&lt;B7,C7,0),0)</f>
        <v>0</v>
      </c>
    </row>
    <row r="8" spans="1:11" x14ac:dyDescent="0.3">
      <c r="A8" s="628">
        <f>B7</f>
        <v>1620</v>
      </c>
      <c r="B8" s="632">
        <f>IF('BP FORMAT JUILLET 2023'!$H$10&lt;'TAUX NEUTRE '!$K$5,'TAUX NEUTRE JANVIER  '!C8,'TAUX NEUTRE  MAI '!B8)</f>
        <v>1683</v>
      </c>
      <c r="C8" s="628" t="s">
        <v>840</v>
      </c>
      <c r="D8" s="434">
        <f t="shared" si="0"/>
        <v>0</v>
      </c>
    </row>
    <row r="9" spans="1:11" x14ac:dyDescent="0.3">
      <c r="A9" s="628">
        <f>B8</f>
        <v>1683</v>
      </c>
      <c r="B9" s="632">
        <f>IF('BP FORMAT JUILLET 2023'!$H$10&lt;'TAUX NEUTRE '!$K$5,'TAUX NEUTRE JANVIER  '!C9,'TAUX NEUTRE  MAI '!B9)</f>
        <v>1791</v>
      </c>
      <c r="C9" s="628" t="s">
        <v>841</v>
      </c>
      <c r="D9" s="434">
        <f t="shared" si="0"/>
        <v>0</v>
      </c>
    </row>
    <row r="10" spans="1:11" x14ac:dyDescent="0.3">
      <c r="A10" s="628">
        <f>B9</f>
        <v>1791</v>
      </c>
      <c r="B10" s="632">
        <f>IF('BP FORMAT JUILLET 2023'!$H$10&lt;'TAUX NEUTRE '!$K$5,'TAUX NEUTRE JANVIER  '!C10,'TAUX NEUTRE  MAI '!B10)</f>
        <v>1911</v>
      </c>
      <c r="C10" s="628" t="s">
        <v>842</v>
      </c>
      <c r="D10" s="434">
        <f t="shared" si="0"/>
        <v>0</v>
      </c>
      <c r="G10" s="891" t="s">
        <v>203</v>
      </c>
      <c r="H10" s="891"/>
    </row>
    <row r="11" spans="1:11" x14ac:dyDescent="0.3">
      <c r="A11" s="628">
        <f>B10</f>
        <v>1911</v>
      </c>
      <c r="B11" s="632">
        <f>IF('BP FORMAT JUILLET 2023'!$H$10&lt;'TAUX NEUTRE '!$K$5,'TAUX NEUTRE JANVIER  '!C11,'TAUX NEUTRE  MAI '!B11)</f>
        <v>2042</v>
      </c>
      <c r="C11" s="628" t="s">
        <v>843</v>
      </c>
      <c r="D11" s="434">
        <f t="shared" si="0"/>
        <v>0</v>
      </c>
      <c r="G11" s="195" t="s">
        <v>102</v>
      </c>
      <c r="H11" s="196">
        <f>'BP FORMAT JUILLET 2023'!D89</f>
        <v>0</v>
      </c>
    </row>
    <row r="12" spans="1:11" x14ac:dyDescent="0.3">
      <c r="A12" s="628">
        <f>B11</f>
        <v>2042</v>
      </c>
      <c r="B12" s="632">
        <f>IF('BP FORMAT JUILLET 2023'!$H$10&lt;'TAUX NEUTRE '!$K$5,'TAUX NEUTRE JANVIER  '!C12,'TAUX NEUTRE  MAI '!B12)</f>
        <v>2151</v>
      </c>
      <c r="C12" s="628" t="s">
        <v>844</v>
      </c>
      <c r="D12" s="434">
        <f t="shared" si="0"/>
        <v>0</v>
      </c>
      <c r="G12" s="195" t="s">
        <v>103</v>
      </c>
      <c r="H12" s="197">
        <f>'TAUX NEUTRE '!D27</f>
        <v>0</v>
      </c>
    </row>
    <row r="13" spans="1:11" x14ac:dyDescent="0.3">
      <c r="A13" s="628">
        <f t="shared" ref="A13:A24" si="1">B12</f>
        <v>2151</v>
      </c>
      <c r="B13" s="632">
        <f>IF('BP FORMAT JUILLET 2023'!$H$10&lt;'TAUX NEUTRE '!$K$5,'TAUX NEUTRE JANVIER  '!C13,'TAUX NEUTRE  MAI '!B13)</f>
        <v>2294</v>
      </c>
      <c r="C13" s="628" t="s">
        <v>845</v>
      </c>
      <c r="D13" s="434">
        <f t="shared" si="0"/>
        <v>0</v>
      </c>
    </row>
    <row r="14" spans="1:11" x14ac:dyDescent="0.3">
      <c r="A14" s="628">
        <f t="shared" si="1"/>
        <v>2294</v>
      </c>
      <c r="B14" s="632">
        <f>IF('BP FORMAT JUILLET 2023'!$H$10&lt;'TAUX NEUTRE '!$K$5,'TAUX NEUTRE JANVIER  '!C14,'TAUX NEUTRE  MAI '!B14)</f>
        <v>2714</v>
      </c>
      <c r="C14" s="628" t="s">
        <v>846</v>
      </c>
      <c r="D14" s="434">
        <f t="shared" si="0"/>
        <v>0</v>
      </c>
    </row>
    <row r="15" spans="1:11" x14ac:dyDescent="0.3">
      <c r="A15" s="628">
        <f t="shared" si="1"/>
        <v>2714</v>
      </c>
      <c r="B15" s="632">
        <f>IF('BP FORMAT JUILLET 2023'!$H$10&lt;'TAUX NEUTRE '!$K$5,'TAUX NEUTRE JANVIER  '!C15,'TAUX NEUTRE  MAI '!B15)</f>
        <v>3107</v>
      </c>
      <c r="C15" s="628" t="s">
        <v>847</v>
      </c>
      <c r="D15" s="434">
        <f t="shared" si="0"/>
        <v>0</v>
      </c>
    </row>
    <row r="16" spans="1:11" x14ac:dyDescent="0.3">
      <c r="A16" s="628">
        <f t="shared" si="1"/>
        <v>3107</v>
      </c>
      <c r="B16" s="632">
        <f>IF('BP FORMAT JUILLET 2023'!$H$10&lt;'TAUX NEUTRE '!$K$5,'TAUX NEUTRE JANVIER  '!C16,'TAUX NEUTRE  MAI '!B16)</f>
        <v>3539</v>
      </c>
      <c r="C16" s="628" t="s">
        <v>848</v>
      </c>
      <c r="D16" s="434">
        <f t="shared" si="0"/>
        <v>0</v>
      </c>
    </row>
    <row r="17" spans="1:4" x14ac:dyDescent="0.3">
      <c r="A17" s="628">
        <f t="shared" si="1"/>
        <v>3539</v>
      </c>
      <c r="B17" s="632">
        <f>IF('BP FORMAT JUILLET 2023'!$H$10&lt;'TAUX NEUTRE '!$K$5,'TAUX NEUTRE JANVIER  '!C17,'TAUX NEUTRE  MAI '!B17)</f>
        <v>3983</v>
      </c>
      <c r="C17" s="628" t="s">
        <v>849</v>
      </c>
      <c r="D17" s="434">
        <f t="shared" si="0"/>
        <v>0</v>
      </c>
    </row>
    <row r="18" spans="1:4" x14ac:dyDescent="0.3">
      <c r="A18" s="628">
        <f t="shared" si="1"/>
        <v>3983</v>
      </c>
      <c r="B18" s="632">
        <f>IF('BP FORMAT JUILLET 2023'!$H$10&lt;'TAUX NEUTRE '!$K$5,'TAUX NEUTRE JANVIER  '!C18,'TAUX NEUTRE  MAI '!B18)</f>
        <v>4648</v>
      </c>
      <c r="C18" s="628" t="s">
        <v>850</v>
      </c>
      <c r="D18" s="434">
        <f t="shared" si="0"/>
        <v>0</v>
      </c>
    </row>
    <row r="19" spans="1:4" x14ac:dyDescent="0.3">
      <c r="A19" s="628">
        <f t="shared" si="1"/>
        <v>4648</v>
      </c>
      <c r="B19" s="632">
        <f>IF('BP FORMAT JUILLET 2023'!$H$10&lt;'TAUX NEUTRE '!$K$5,'TAUX NEUTRE JANVIER  '!C19,'TAUX NEUTRE  MAI '!B19)</f>
        <v>5574</v>
      </c>
      <c r="C19" s="628" t="s">
        <v>851</v>
      </c>
      <c r="D19" s="434">
        <f t="shared" si="0"/>
        <v>0</v>
      </c>
    </row>
    <row r="20" spans="1:4" x14ac:dyDescent="0.3">
      <c r="A20" s="628">
        <f t="shared" si="1"/>
        <v>5574</v>
      </c>
      <c r="B20" s="632">
        <f>IF('BP FORMAT JUILLET 2023'!$H$10&lt;'TAUX NEUTRE '!$K$5,'TAUX NEUTRE JANVIER  '!C20,'TAUX NEUTRE  MAI '!B20)</f>
        <v>6974</v>
      </c>
      <c r="C20" s="628" t="s">
        <v>852</v>
      </c>
      <c r="D20" s="434">
        <f t="shared" si="0"/>
        <v>0</v>
      </c>
    </row>
    <row r="21" spans="1:4" x14ac:dyDescent="0.3">
      <c r="A21" s="628">
        <f t="shared" si="1"/>
        <v>6974</v>
      </c>
      <c r="B21" s="632">
        <f>IF('BP FORMAT JUILLET 2023'!$H$10&lt;'TAUX NEUTRE '!$K$5,'TAUX NEUTRE JANVIER  '!C21,'TAUX NEUTRE  MAI '!B21)</f>
        <v>8711</v>
      </c>
      <c r="C21" s="629">
        <v>0.2</v>
      </c>
      <c r="D21" s="434">
        <f t="shared" si="0"/>
        <v>0</v>
      </c>
    </row>
    <row r="22" spans="1:4" x14ac:dyDescent="0.3">
      <c r="A22" s="628">
        <f t="shared" si="1"/>
        <v>8711</v>
      </c>
      <c r="B22" s="632">
        <f>IF('BP FORMAT JUILLET 2023'!$H$10&lt;'TAUX NEUTRE '!$K$5,'TAUX NEUTRE JANVIER  '!C22,'TAUX NEUTRE  MAI '!B22)</f>
        <v>12091</v>
      </c>
      <c r="C22" s="629">
        <v>0.24</v>
      </c>
      <c r="D22" s="434">
        <f t="shared" si="0"/>
        <v>0</v>
      </c>
    </row>
    <row r="23" spans="1:4" x14ac:dyDescent="0.3">
      <c r="A23" s="628">
        <f t="shared" si="1"/>
        <v>12091</v>
      </c>
      <c r="B23" s="632">
        <f>IF('BP FORMAT JUILLET 2023'!$H$10&lt;'TAUX NEUTRE '!$K$5,'TAUX NEUTRE JANVIER  '!C23,'TAUX NEUTRE  MAI '!B23)</f>
        <v>16376</v>
      </c>
      <c r="C23" s="629">
        <v>0.28000000000000003</v>
      </c>
      <c r="D23" s="434">
        <f t="shared" si="0"/>
        <v>0</v>
      </c>
    </row>
    <row r="24" spans="1:4" x14ac:dyDescent="0.3">
      <c r="A24" s="628">
        <f t="shared" si="1"/>
        <v>16376</v>
      </c>
      <c r="B24" s="632">
        <f>IF('BP FORMAT JUILLET 2023'!$H$10&lt;'TAUX NEUTRE '!$K$5,'TAUX NEUTRE JANVIER  '!C24,'TAUX NEUTRE  MAI '!B24)</f>
        <v>25706</v>
      </c>
      <c r="C24" s="629">
        <v>0.33</v>
      </c>
      <c r="D24" s="434">
        <f t="shared" si="0"/>
        <v>0</v>
      </c>
    </row>
    <row r="25" spans="1:4" x14ac:dyDescent="0.3">
      <c r="A25" s="628">
        <f>B24</f>
        <v>25706</v>
      </c>
      <c r="B25" s="632">
        <f>IF('BP FORMAT JUILLET 2023'!$H$10&lt;'TAUX NEUTRE '!$K$5,'TAUX NEUTRE JANVIER  '!C25,'TAUX NEUTRE  MAI '!B25)</f>
        <v>55062</v>
      </c>
      <c r="C25" s="629">
        <v>0.38</v>
      </c>
      <c r="D25" s="434">
        <f t="shared" si="0"/>
        <v>0</v>
      </c>
    </row>
    <row r="26" spans="1:4" x14ac:dyDescent="0.3">
      <c r="A26" s="628">
        <f>B25</f>
        <v>55062</v>
      </c>
      <c r="B26" s="632">
        <f>IF('BP FORMAT JUILLET 2023'!$H$10&lt;'TAUX NEUTRE '!$K$5,'TAUX NEUTRE JANVIER  '!C26,'TAUX NEUTRE  MAI '!B26)</f>
        <v>0</v>
      </c>
      <c r="C26" s="629">
        <v>0.43</v>
      </c>
      <c r="D26" s="434">
        <f t="shared" si="0"/>
        <v>0</v>
      </c>
    </row>
    <row r="27" spans="1:4" x14ac:dyDescent="0.3">
      <c r="A27" s="630"/>
      <c r="B27" s="630"/>
      <c r="D27" s="194">
        <f>SUM(D7:D26)</f>
        <v>0</v>
      </c>
    </row>
    <row r="29" spans="1:4" x14ac:dyDescent="0.3">
      <c r="A29" s="631" t="s">
        <v>853</v>
      </c>
      <c r="B29" s="631"/>
    </row>
  </sheetData>
  <mergeCells count="2">
    <mergeCell ref="B1:H1"/>
    <mergeCell ref="G10:H10"/>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20</vt:i4>
      </vt:variant>
      <vt:variant>
        <vt:lpstr>Plages nommées</vt:lpstr>
      </vt:variant>
      <vt:variant>
        <vt:i4>1</vt:i4>
      </vt:variant>
    </vt:vector>
  </HeadingPairs>
  <TitlesOfParts>
    <vt:vector size="21" baseType="lpstr">
      <vt:lpstr>PRESENTATION </vt:lpstr>
      <vt:lpstr>INTRODUCTION </vt:lpstr>
      <vt:lpstr>ENONCE ET CORRECTION </vt:lpstr>
      <vt:lpstr>Masque de Saisie</vt:lpstr>
      <vt:lpstr>BP FORMAT JUILLET 2023</vt:lpstr>
      <vt:lpstr>BP VERSION JANVIER 2023</vt:lpstr>
      <vt:lpstr>HEURES SUPPLEMENTAIRES </vt:lpstr>
      <vt:lpstr>FEUILLE DE CONTROLE </vt:lpstr>
      <vt:lpstr>TAUX NEUTRE </vt:lpstr>
      <vt:lpstr>TABLE DES TAUX 2025 </vt:lpstr>
      <vt:lpstr>TR Matrice Net Imposable </vt:lpstr>
      <vt:lpstr>TR Matrice Cotisations </vt:lpstr>
      <vt:lpstr>RED. GEN. de COT. Janv</vt:lpstr>
      <vt:lpstr>Red Gen de CoBP Format Juillet</vt:lpstr>
      <vt:lpstr>TAUX NEUTRE JANVIER  </vt:lpstr>
      <vt:lpstr>TAUX NEUTRE  MAI </vt:lpstr>
      <vt:lpstr>MATRICE IJSS ABSENCE </vt:lpstr>
      <vt:lpstr>MATRICE IJSS MALADIE</vt:lpstr>
      <vt:lpstr>MATRICE IJSS MATERNITE </vt:lpstr>
      <vt:lpstr>MATRICE ISS AT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2025-05-09T04:50:16Z</cp:lastPrinted>
  <dcterms:created xsi:type="dcterms:W3CDTF">2019-09-02T13:46:41Z</dcterms:created>
  <dcterms:modified xsi:type="dcterms:W3CDTF">2025-05-09T04:59:03Z</dcterms:modified>
</cp:coreProperties>
</file>