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S 7 -8 - 9/2025/"/>
    </mc:Choice>
  </mc:AlternateContent>
  <xr:revisionPtr revIDLastSave="31" documentId="13_ncr:1_{4515FB7F-ED65-4A12-877E-82F61951D6DD}" xr6:coauthVersionLast="47" xr6:coauthVersionMax="47" xr10:uidLastSave="{1FF59F4D-06AB-49C1-BBCF-F6351EBE64EF}"/>
  <bookViews>
    <workbookView xWindow="-108" yWindow="-108" windowWidth="23256" windowHeight="12456" activeTab="4" xr2:uid="{FFB3DF39-F2DC-4D0C-AF7A-7838AFD59A8F}"/>
  </bookViews>
  <sheets>
    <sheet name="TRAME A BLANC " sheetId="2" r:id="rId1"/>
    <sheet name="LEGISLATION " sheetId="6" r:id="rId2"/>
    <sheet name="TRAME 1 " sheetId="1" r:id="rId3"/>
    <sheet name="TRAME 2" sheetId="5" r:id="rId4"/>
    <sheet name="TRAME 3 " sheetId="4" r:id="rId5"/>
  </sheets>
  <externalReferences>
    <externalReference r:id="rId6"/>
  </externalReferenc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7" i="4" l="1"/>
  <c r="N29" i="1"/>
  <c r="L28" i="1"/>
  <c r="L27" i="4"/>
  <c r="G27" i="4"/>
  <c r="G28" i="4"/>
  <c r="G29" i="4"/>
  <c r="G30" i="4"/>
  <c r="G31" i="4"/>
  <c r="G32" i="4"/>
  <c r="G33" i="4"/>
  <c r="G34" i="4"/>
  <c r="G35" i="4"/>
  <c r="G36" i="4"/>
  <c r="G37" i="4"/>
  <c r="G26" i="4"/>
  <c r="F27" i="4"/>
  <c r="F28" i="4"/>
  <c r="F29" i="4"/>
  <c r="F30" i="4"/>
  <c r="F31" i="4"/>
  <c r="F32" i="4"/>
  <c r="F33" i="4"/>
  <c r="F34" i="4"/>
  <c r="F35" i="4"/>
  <c r="F36" i="4"/>
  <c r="F37" i="4"/>
  <c r="F26" i="4"/>
  <c r="B38" i="5"/>
  <c r="B38" i="4"/>
  <c r="F27" i="5"/>
  <c r="F28" i="5"/>
  <c r="F29" i="5"/>
  <c r="F30" i="5"/>
  <c r="F31" i="5"/>
  <c r="F32" i="5"/>
  <c r="F33" i="5"/>
  <c r="F34" i="5"/>
  <c r="F35" i="5"/>
  <c r="F36" i="5"/>
  <c r="F37" i="5"/>
  <c r="F26" i="5"/>
  <c r="F28" i="1"/>
  <c r="F29" i="1"/>
  <c r="F30" i="1"/>
  <c r="F31" i="1"/>
  <c r="F32" i="1"/>
  <c r="F33" i="1"/>
  <c r="F34" i="1"/>
  <c r="F35" i="1"/>
  <c r="F36" i="1"/>
  <c r="F37" i="1"/>
  <c r="F38" i="1"/>
  <c r="G7" i="1"/>
  <c r="G6" i="1"/>
  <c r="N30" i="4"/>
  <c r="N31" i="4"/>
  <c r="N32" i="4"/>
  <c r="N33" i="4"/>
  <c r="N34" i="4"/>
  <c r="N35" i="4"/>
  <c r="N36" i="4"/>
  <c r="L31" i="4"/>
  <c r="J30" i="4"/>
  <c r="L30" i="4" s="1"/>
  <c r="J31" i="4"/>
  <c r="J32" i="4"/>
  <c r="L32" i="4" s="1"/>
  <c r="J33" i="4"/>
  <c r="L33" i="4" s="1"/>
  <c r="J34" i="4"/>
  <c r="L34" i="4" s="1"/>
  <c r="J35" i="4"/>
  <c r="L35" i="4" s="1"/>
  <c r="J36" i="4"/>
  <c r="L36" i="4" s="1"/>
  <c r="I31" i="4"/>
  <c r="I32" i="4"/>
  <c r="I33" i="4"/>
  <c r="I34" i="4"/>
  <c r="I35" i="4"/>
  <c r="I36" i="4"/>
  <c r="I30" i="4"/>
  <c r="H27" i="4"/>
  <c r="H32" i="4"/>
  <c r="H33" i="4"/>
  <c r="H34" i="4"/>
  <c r="H35" i="4"/>
  <c r="H36" i="4"/>
  <c r="H37" i="4"/>
  <c r="G37" i="5"/>
  <c r="C37" i="5"/>
  <c r="G36" i="5"/>
  <c r="C36" i="5"/>
  <c r="G35" i="5"/>
  <c r="C35" i="5"/>
  <c r="G34" i="5"/>
  <c r="C34" i="5"/>
  <c r="G33" i="5"/>
  <c r="C33" i="5"/>
  <c r="G32" i="5"/>
  <c r="C32" i="5"/>
  <c r="G31" i="5"/>
  <c r="C31" i="5"/>
  <c r="G30" i="5"/>
  <c r="C30" i="5"/>
  <c r="G29" i="5"/>
  <c r="C29" i="5"/>
  <c r="G28" i="5"/>
  <c r="C28" i="5"/>
  <c r="G27" i="5"/>
  <c r="C27" i="5"/>
  <c r="G26" i="5"/>
  <c r="E26" i="5"/>
  <c r="D26" i="5"/>
  <c r="C6" i="5"/>
  <c r="C33" i="1"/>
  <c r="C34" i="1"/>
  <c r="C35" i="1"/>
  <c r="C36" i="1"/>
  <c r="C37" i="1"/>
  <c r="C38" i="1"/>
  <c r="H31" i="4"/>
  <c r="H30" i="4"/>
  <c r="H29" i="4"/>
  <c r="H28" i="4"/>
  <c r="H26" i="4"/>
  <c r="E26" i="4"/>
  <c r="E27" i="4" s="1"/>
  <c r="D26" i="4"/>
  <c r="D27" i="4" s="1"/>
  <c r="C6" i="4"/>
  <c r="G27" i="1"/>
  <c r="B38" i="2"/>
  <c r="G38" i="2" s="1"/>
  <c r="B37" i="2"/>
  <c r="G37" i="2" s="1"/>
  <c r="B36" i="2"/>
  <c r="G36" i="2" s="1"/>
  <c r="B35" i="2"/>
  <c r="G35" i="2" s="1"/>
  <c r="B34" i="2"/>
  <c r="G34" i="2" s="1"/>
  <c r="B33" i="2"/>
  <c r="C32" i="2"/>
  <c r="C31" i="2"/>
  <c r="C30" i="2"/>
  <c r="C29" i="2"/>
  <c r="C28" i="2"/>
  <c r="G38" i="1"/>
  <c r="G37" i="1"/>
  <c r="G36" i="1"/>
  <c r="G35" i="1"/>
  <c r="G34" i="1"/>
  <c r="G33" i="1"/>
  <c r="C32" i="1"/>
  <c r="G32" i="1"/>
  <c r="C31" i="1"/>
  <c r="G31" i="1"/>
  <c r="C30" i="1"/>
  <c r="G30" i="1"/>
  <c r="C29" i="1"/>
  <c r="G29" i="1"/>
  <c r="C28" i="1"/>
  <c r="G28" i="1"/>
  <c r="D27" i="1"/>
  <c r="F27" i="1" s="1"/>
  <c r="I26" i="4" l="1"/>
  <c r="N26" i="4"/>
  <c r="O26" i="4" s="1"/>
  <c r="J26" i="4"/>
  <c r="I29" i="4"/>
  <c r="N29" i="4"/>
  <c r="J29" i="4"/>
  <c r="L29" i="4" s="1"/>
  <c r="I28" i="4"/>
  <c r="N28" i="4"/>
  <c r="J28" i="4"/>
  <c r="L28" i="4" s="1"/>
  <c r="I27" i="4"/>
  <c r="J27" i="4"/>
  <c r="C7" i="5"/>
  <c r="G7" i="5" s="1"/>
  <c r="G6" i="5"/>
  <c r="D27" i="5"/>
  <c r="E27" i="5"/>
  <c r="M26" i="5"/>
  <c r="N26" i="5" s="1"/>
  <c r="I26" i="5"/>
  <c r="H26" i="5"/>
  <c r="C7" i="4"/>
  <c r="H7" i="4" s="1"/>
  <c r="H6" i="4"/>
  <c r="G7" i="2"/>
  <c r="G6" i="2"/>
  <c r="G33" i="2"/>
  <c r="E27" i="1"/>
  <c r="I27" i="1" s="1"/>
  <c r="D28" i="1"/>
  <c r="M27" i="1" l="1"/>
  <c r="N27" i="1" s="1"/>
  <c r="H27" i="1"/>
  <c r="L26" i="4"/>
  <c r="M26" i="4" s="1"/>
  <c r="M27" i="4" s="1"/>
  <c r="M28" i="4" s="1"/>
  <c r="M29" i="4" s="1"/>
  <c r="M30" i="4" s="1"/>
  <c r="M31" i="4" s="1"/>
  <c r="M32" i="4" s="1"/>
  <c r="M33" i="4" s="1"/>
  <c r="M34" i="4" s="1"/>
  <c r="M35" i="4" s="1"/>
  <c r="M36" i="4" s="1"/>
  <c r="K26" i="4"/>
  <c r="K27" i="4" s="1"/>
  <c r="K28" i="4" s="1"/>
  <c r="K29" i="4" s="1"/>
  <c r="K30" i="4" s="1"/>
  <c r="K31" i="4" s="1"/>
  <c r="K32" i="4" s="1"/>
  <c r="K33" i="4" s="1"/>
  <c r="K34" i="4" s="1"/>
  <c r="K35" i="4" s="1"/>
  <c r="K36" i="4" s="1"/>
  <c r="O27" i="4"/>
  <c r="O28" i="4" s="1"/>
  <c r="O29" i="4" s="1"/>
  <c r="O30" i="4" s="1"/>
  <c r="O31" i="4" s="1"/>
  <c r="O32" i="4" s="1"/>
  <c r="O33" i="4" s="1"/>
  <c r="O34" i="4" s="1"/>
  <c r="O35" i="4" s="1"/>
  <c r="O36" i="4" s="1"/>
  <c r="K26" i="5"/>
  <c r="J26" i="5"/>
  <c r="L26" i="5" s="1"/>
  <c r="E28" i="5"/>
  <c r="D28" i="5"/>
  <c r="E28" i="4"/>
  <c r="D28" i="4"/>
  <c r="D29" i="1"/>
  <c r="E28" i="1"/>
  <c r="I27" i="5" l="1"/>
  <c r="J27" i="5" s="1"/>
  <c r="H27" i="5"/>
  <c r="D29" i="5"/>
  <c r="E29" i="5"/>
  <c r="I28" i="5"/>
  <c r="H28" i="5"/>
  <c r="D29" i="4"/>
  <c r="E29" i="4"/>
  <c r="K27" i="1"/>
  <c r="J27" i="1"/>
  <c r="L27" i="1" s="1"/>
  <c r="E29" i="1"/>
  <c r="I28" i="1"/>
  <c r="M28" i="1" s="1"/>
  <c r="H28" i="1"/>
  <c r="D30" i="1"/>
  <c r="M28" i="5" l="1"/>
  <c r="K28" i="5"/>
  <c r="J28" i="5"/>
  <c r="L28" i="5" s="1"/>
  <c r="E30" i="5"/>
  <c r="D30" i="5"/>
  <c r="D31" i="5" s="1"/>
  <c r="D32" i="5" s="1"/>
  <c r="M27" i="5"/>
  <c r="N27" i="5" s="1"/>
  <c r="K27" i="5"/>
  <c r="L27" i="5"/>
  <c r="E30" i="4"/>
  <c r="D30" i="4"/>
  <c r="D31" i="4" s="1"/>
  <c r="D32" i="4" s="1"/>
  <c r="D33" i="4" s="1"/>
  <c r="D34" i="4" s="1"/>
  <c r="D35" i="4" s="1"/>
  <c r="D36" i="4" s="1"/>
  <c r="D37" i="4" s="1"/>
  <c r="D33" i="2"/>
  <c r="D31" i="1"/>
  <c r="K28" i="1"/>
  <c r="J28" i="1"/>
  <c r="N28" i="1"/>
  <c r="E30" i="1"/>
  <c r="I29" i="1"/>
  <c r="M29" i="1" s="1"/>
  <c r="H29" i="1"/>
  <c r="I29" i="5" l="1"/>
  <c r="H29" i="5"/>
  <c r="D33" i="5"/>
  <c r="E31" i="5"/>
  <c r="I30" i="5"/>
  <c r="H30" i="5"/>
  <c r="N28" i="5"/>
  <c r="J29" i="1"/>
  <c r="L29" i="1" s="1"/>
  <c r="E31" i="4"/>
  <c r="E32" i="4" s="1"/>
  <c r="D34" i="2"/>
  <c r="F33" i="2"/>
  <c r="K29" i="1"/>
  <c r="E31" i="1"/>
  <c r="I30" i="1"/>
  <c r="M30" i="1" s="1"/>
  <c r="H30" i="1"/>
  <c r="D32" i="1"/>
  <c r="E33" i="4" l="1"/>
  <c r="M30" i="5"/>
  <c r="K30" i="5"/>
  <c r="J30" i="5"/>
  <c r="L30" i="5" s="1"/>
  <c r="E32" i="5"/>
  <c r="I31" i="5"/>
  <c r="H31" i="5"/>
  <c r="D34" i="5"/>
  <c r="M29" i="5"/>
  <c r="N29" i="5" s="1"/>
  <c r="K29" i="5"/>
  <c r="J29" i="5"/>
  <c r="L29" i="5" s="1"/>
  <c r="K30" i="1"/>
  <c r="J30" i="1"/>
  <c r="L30" i="1" s="1"/>
  <c r="E33" i="2"/>
  <c r="D35" i="2"/>
  <c r="F34" i="2"/>
  <c r="D33" i="1"/>
  <c r="N30" i="1"/>
  <c r="E32" i="1"/>
  <c r="I31" i="1"/>
  <c r="M31" i="1" s="1"/>
  <c r="H31" i="1"/>
  <c r="E34" i="4" l="1"/>
  <c r="D35" i="5"/>
  <c r="M31" i="5"/>
  <c r="N31" i="5" s="1"/>
  <c r="K31" i="5"/>
  <c r="J31" i="5"/>
  <c r="L31" i="5" s="1"/>
  <c r="E33" i="5"/>
  <c r="I32" i="5"/>
  <c r="H32" i="5"/>
  <c r="N30" i="5"/>
  <c r="K31" i="1"/>
  <c r="J31" i="1"/>
  <c r="L31" i="1" s="1"/>
  <c r="D36" i="2"/>
  <c r="F35" i="2"/>
  <c r="E34" i="2"/>
  <c r="I33" i="2"/>
  <c r="H33" i="2"/>
  <c r="N31" i="1"/>
  <c r="E33" i="1"/>
  <c r="I32" i="1"/>
  <c r="M32" i="1" s="1"/>
  <c r="H32" i="1"/>
  <c r="D34" i="1"/>
  <c r="E35" i="4" l="1"/>
  <c r="M32" i="5"/>
  <c r="N32" i="5" s="1"/>
  <c r="K32" i="5"/>
  <c r="J32" i="5"/>
  <c r="L32" i="5" s="1"/>
  <c r="E34" i="5"/>
  <c r="I33" i="5"/>
  <c r="H33" i="5"/>
  <c r="D36" i="5"/>
  <c r="K32" i="1"/>
  <c r="J32" i="1"/>
  <c r="L32" i="1" s="1"/>
  <c r="J33" i="2"/>
  <c r="L33" i="2" s="1"/>
  <c r="M33" i="2"/>
  <c r="N33" i="2" s="1"/>
  <c r="E35" i="2"/>
  <c r="I34" i="2"/>
  <c r="H34" i="2"/>
  <c r="D37" i="2"/>
  <c r="F36" i="2"/>
  <c r="D35" i="1"/>
  <c r="N32" i="1"/>
  <c r="E34" i="1"/>
  <c r="I33" i="1"/>
  <c r="M33" i="1" s="1"/>
  <c r="H33" i="1"/>
  <c r="E36" i="4" l="1"/>
  <c r="D37" i="5"/>
  <c r="M33" i="5"/>
  <c r="N33" i="5" s="1"/>
  <c r="K33" i="5"/>
  <c r="J33" i="5"/>
  <c r="L33" i="5" s="1"/>
  <c r="E35" i="5"/>
  <c r="I34" i="5"/>
  <c r="H34" i="5"/>
  <c r="K33" i="1"/>
  <c r="J33" i="1"/>
  <c r="L33" i="1" s="1"/>
  <c r="D38" i="2"/>
  <c r="F38" i="2" s="1"/>
  <c r="F37" i="2"/>
  <c r="J34" i="2"/>
  <c r="L34" i="2" s="1"/>
  <c r="M34" i="2"/>
  <c r="N34" i="2" s="1"/>
  <c r="E36" i="2"/>
  <c r="I35" i="2"/>
  <c r="H35" i="2"/>
  <c r="N33" i="1"/>
  <c r="E35" i="1"/>
  <c r="I34" i="1"/>
  <c r="M34" i="1" s="1"/>
  <c r="H34" i="1"/>
  <c r="D36" i="1"/>
  <c r="E37" i="4" l="1"/>
  <c r="M34" i="5"/>
  <c r="N34" i="5" s="1"/>
  <c r="K34" i="5"/>
  <c r="J34" i="5"/>
  <c r="L34" i="5" s="1"/>
  <c r="E36" i="5"/>
  <c r="I35" i="5"/>
  <c r="H35" i="5"/>
  <c r="K34" i="1"/>
  <c r="J34" i="1"/>
  <c r="L34" i="1" s="1"/>
  <c r="J35" i="2"/>
  <c r="L35" i="2" s="1"/>
  <c r="M35" i="2"/>
  <c r="N35" i="2" s="1"/>
  <c r="E37" i="2"/>
  <c r="I36" i="2"/>
  <c r="H36" i="2"/>
  <c r="D37" i="1"/>
  <c r="N34" i="1"/>
  <c r="E36" i="1"/>
  <c r="I35" i="1"/>
  <c r="M35" i="1" s="1"/>
  <c r="H35" i="1"/>
  <c r="N37" i="4" l="1"/>
  <c r="J37" i="4"/>
  <c r="O37" i="4"/>
  <c r="I37" i="4"/>
  <c r="M35" i="5"/>
  <c r="N35" i="5" s="1"/>
  <c r="K35" i="5"/>
  <c r="J35" i="5"/>
  <c r="L35" i="5" s="1"/>
  <c r="E37" i="5"/>
  <c r="I36" i="5"/>
  <c r="H36" i="5"/>
  <c r="K35" i="1"/>
  <c r="J35" i="1"/>
  <c r="L35" i="1" s="1"/>
  <c r="J36" i="2"/>
  <c r="L36" i="2" s="1"/>
  <c r="M36" i="2"/>
  <c r="N36" i="2" s="1"/>
  <c r="E38" i="2"/>
  <c r="I37" i="2"/>
  <c r="H37" i="2"/>
  <c r="N35" i="1"/>
  <c r="E37" i="1"/>
  <c r="I36" i="1"/>
  <c r="M36" i="1" s="1"/>
  <c r="H36" i="1"/>
  <c r="D38" i="1"/>
  <c r="L37" i="4" l="1"/>
  <c r="K37" i="4"/>
  <c r="M37" i="4" s="1"/>
  <c r="M36" i="5"/>
  <c r="N36" i="5" s="1"/>
  <c r="K36" i="5"/>
  <c r="J36" i="5"/>
  <c r="L36" i="5" s="1"/>
  <c r="I37" i="5"/>
  <c r="H37" i="5"/>
  <c r="K36" i="1"/>
  <c r="J36" i="1"/>
  <c r="L36" i="1" s="1"/>
  <c r="J37" i="2"/>
  <c r="L37" i="2" s="1"/>
  <c r="M37" i="2"/>
  <c r="N37" i="2" s="1"/>
  <c r="I38" i="2"/>
  <c r="H38" i="2"/>
  <c r="N36" i="1"/>
  <c r="E38" i="1"/>
  <c r="I37" i="1"/>
  <c r="M37" i="1" s="1"/>
  <c r="H37" i="1"/>
  <c r="M37" i="5" l="1"/>
  <c r="N37" i="5" s="1"/>
  <c r="K37" i="5"/>
  <c r="J37" i="5"/>
  <c r="L37" i="5" s="1"/>
  <c r="K37" i="1"/>
  <c r="J37" i="1"/>
  <c r="L37" i="1" s="1"/>
  <c r="J38" i="2"/>
  <c r="L38" i="2" s="1"/>
  <c r="M38" i="2"/>
  <c r="N38" i="2" s="1"/>
  <c r="N37" i="1"/>
  <c r="I38" i="1"/>
  <c r="M38" i="1" s="1"/>
  <c r="H38" i="1"/>
  <c r="K38" i="1" l="1"/>
  <c r="J38" i="1"/>
  <c r="L38" i="1" s="1"/>
  <c r="N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27" authorId="0" shapeId="0" xr:uid="{9806CBB3-4EE0-493D-98CB-67AAE3B39785}">
      <text>
        <r>
          <rPr>
            <sz val="9"/>
            <color indexed="81"/>
            <rFont val="Tahoma"/>
            <family val="2"/>
          </rPr>
          <t>Le salarié dont le salaire de base est de 1800 euros  PLUS une prime d'ancienneté de 90 uros a effectué 8 heures supplémentaires Le nombre d'heures URSSAF est donc de 159,67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7" authorId="0" shapeId="0" xr:uid="{77B2BC1E-62B8-492C-ADF7-2A036D3A7B22}">
      <text>
        <r>
          <rPr>
            <sz val="9"/>
            <color indexed="81"/>
            <rFont val="Tahoma"/>
            <family val="2"/>
          </rPr>
          <t>Plus précisément 3,3 
 SMIC Horaire * Nombre d'heures URSSAF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SMICH  de référence en 2025 : celui applicable au 31/12/2023n attente du décret d'application. 
</t>
        </r>
      </text>
    </comment>
    <comment ref="H27" authorId="0" shapeId="0" xr:uid="{60F9E849-791D-4CDA-B7CA-1796741EA394}">
      <text>
        <r>
          <rPr>
            <sz val="9"/>
            <color indexed="81"/>
            <rFont val="Tahoma"/>
            <family val="2"/>
          </rPr>
          <t xml:space="preserve">OUI : le taux de 1,8 % s'active car le salaire brut cumullé est supérieur à la limite de 3,5 SMIC Cumulé. Dans le cas contraire.
</t>
        </r>
      </text>
    </comment>
    <comment ref="I27" authorId="0" shapeId="0" xr:uid="{44A30BD8-E81F-4EDE-90FE-5C793D982938}">
      <text>
        <r>
          <rPr>
            <sz val="9"/>
            <color indexed="81"/>
            <rFont val="Tahoma"/>
            <family val="2"/>
          </rPr>
          <t xml:space="preserve">Si le SALAIRE BRUT CUMULE est supérieur à la limite de 3,5 SMIC CUMULE alors la BASE CUMULEE est égale au SALAIRE BRUT CUMULE.  Sinon elle est de 0
</t>
        </r>
      </text>
    </comment>
    <comment ref="J28" authorId="0" shapeId="0" xr:uid="{3F95D9EA-EAD0-4E6C-9477-3368E58D2B77}">
      <text>
        <r>
          <rPr>
            <sz val="9"/>
            <color indexed="81"/>
            <rFont val="Tahoma"/>
            <family val="2"/>
          </rPr>
          <t xml:space="preserve">La Base du Mois  est égale à la Base Cumulée du mois en cours - la Base Cumulée du mois précédent 
</t>
        </r>
      </text>
    </comment>
    <comment ref="L28" authorId="0" shapeId="0" xr:uid="{101A1256-6266-4931-9773-BE1F7AFD77C1}">
      <text>
        <r>
          <rPr>
            <sz val="9"/>
            <color indexed="81"/>
            <rFont val="Tahoma"/>
            <family val="2"/>
          </rPr>
          <t>Le montant du mois est égale à la Base du mois en cours* 1,8 %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8" authorId="0" shapeId="0" xr:uid="{8D84EF44-C4D8-4136-8D9C-B2C77DD57FA3}">
      <text>
        <r>
          <rPr>
            <sz val="9"/>
            <color indexed="81"/>
            <rFont val="Tahoma"/>
            <family val="2"/>
          </rPr>
          <t xml:space="preserve">Dans le cas où le SALAIRE BRUT CUMULE est inférieur ou égal à 3,5 SMIC CUMULE Il faudra faire figurer dans la rubique ALLEGEMENT DE COTISATIONS un montant cumulé égal au SALAIRE BRUT CUMULE *1,8 % 
</t>
        </r>
      </text>
    </comment>
    <comment ref="N28" authorId="0" shapeId="0" xr:uid="{B629B0BC-0D00-4A23-8106-E6CB2041494E}">
      <text>
        <r>
          <rPr>
            <sz val="9"/>
            <color indexed="81"/>
            <rFont val="Tahoma"/>
            <family val="2"/>
          </rPr>
          <t xml:space="preserve">L'ALLEGEMENT du MOIS est égal à l'ALLEEGEMENT CUMULE du Mois en cours MOINS L'ALLEGEMENT CUMULE du mois précédent.
</t>
        </r>
      </text>
    </comment>
    <comment ref="F31" authorId="0" shapeId="0" xr:uid="{8011C5D4-628A-4C28-91D8-F450E601FDA5}">
      <text>
        <r>
          <rPr>
            <sz val="9"/>
            <color indexed="81"/>
            <rFont val="Tahoma"/>
            <family val="2"/>
          </rPr>
          <t xml:space="preserve">La formule de calcul change compte tenu de la modification applicable du SMIC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27" authorId="0" shapeId="0" xr:uid="{DE6C7D75-D476-4805-9FA7-D65A56CCE92B}">
      <text>
        <r>
          <rPr>
            <sz val="9"/>
            <color indexed="81"/>
            <rFont val="Tahoma"/>
            <family val="2"/>
          </rPr>
          <t>Le salarié dont le salaire de base est de 1800 euros  PLUS une prime d'ancienneté de 90 uros a effectué 8 heures supplémentaires Le nombre d'heures URSSAF est donc de 159,67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7" authorId="0" shapeId="0" xr:uid="{88CB411E-FE37-492F-A10A-15761F2FC60F}">
      <text>
        <r>
          <rPr>
            <sz val="9"/>
            <color indexed="81"/>
            <rFont val="Tahoma"/>
            <family val="2"/>
          </rPr>
          <t>Plus précisément 3,5 
 SMIC Horaire * Nombre d'heures URSSAF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7" authorId="0" shapeId="0" xr:uid="{AC4B6E07-5A59-4069-8EE0-ABB6DEAEAC77}">
      <text>
        <r>
          <rPr>
            <sz val="9"/>
            <color indexed="81"/>
            <rFont val="Tahoma"/>
            <family val="2"/>
          </rPr>
          <t xml:space="preserve">OUI : le taux de 1,8 % s'active car le salaire brut cumullé est supérieur à la limite de 3,5 SMIC Cumulé. Dans le cas contraire.
</t>
        </r>
      </text>
    </comment>
    <comment ref="I27" authorId="0" shapeId="0" xr:uid="{97C01A6C-C354-4117-A341-7648F593EAFB}">
      <text>
        <r>
          <rPr>
            <sz val="9"/>
            <color indexed="81"/>
            <rFont val="Tahoma"/>
            <family val="2"/>
          </rPr>
          <t xml:space="preserve">Si le SALAIRE BRUT CUMULE est supérieur à la limite de 3,3 SMIC CUMULE alors la BASE CUMULEE est égale au SALAIRE BRUT CUMULE.  Sinon elle est de 0
</t>
        </r>
      </text>
    </comment>
    <comment ref="J28" authorId="0" shapeId="0" xr:uid="{6A58CA29-CFF4-4ABB-A755-60FBC5D467C5}">
      <text>
        <r>
          <rPr>
            <sz val="9"/>
            <color indexed="81"/>
            <rFont val="Tahoma"/>
            <family val="2"/>
          </rPr>
          <t xml:space="preserve">La Base du Mois  est égale à la Base Cumulée du mois en cours - la Base Cumulée du mois précédent 
</t>
        </r>
      </text>
    </comment>
    <comment ref="M28" authorId="0" shapeId="0" xr:uid="{A4A42F34-E67B-4BAF-AAD2-E2B8F919440D}">
      <text>
        <r>
          <rPr>
            <sz val="9"/>
            <color indexed="81"/>
            <rFont val="Tahoma"/>
            <family val="2"/>
          </rPr>
          <t xml:space="preserve">Dans le cas où le SALAIRE BRUT CUMULE est inférieur ou égal à 3,3 SMIC CUMULE Il faudra faire figurer dans la rubique ALLEGEMENT DE COTISATIONS un montant cumulé égal au SALAIRE BRUT CUMULE *1,8 % 
</t>
        </r>
      </text>
    </comment>
    <comment ref="N28" authorId="0" shapeId="0" xr:uid="{EB244FD0-BB2C-4642-82D6-4FA9302CE7B9}">
      <text>
        <r>
          <rPr>
            <sz val="9"/>
            <color indexed="81"/>
            <rFont val="Tahoma"/>
            <family val="2"/>
          </rPr>
          <t xml:space="preserve">L'ALLEGEMENT du MOIS est égal à l'ALLEEGEMENT CUMULE du Mois en cours MOINS L'ALLEGEMENT CUMULE du mois précédent.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26" authorId="0" shapeId="0" xr:uid="{8A327518-D189-4AFC-B217-5D2FD0739B6A}">
      <text>
        <r>
          <rPr>
            <sz val="9"/>
            <color indexed="81"/>
            <rFont val="Tahoma"/>
            <family val="2"/>
          </rPr>
          <t>Le salarié dont le salaire de base est de 1800 euros  PLUS une prime d'ancienneté de 90 uros a effectué 8 heures supplémentaires Le nombre d'heures URSSAF est donc de 159,67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6" authorId="0" shapeId="0" xr:uid="{468D0E06-8467-4399-AEEE-7B45F89812DB}">
      <text>
        <r>
          <rPr>
            <sz val="9"/>
            <color indexed="81"/>
            <rFont val="Tahoma"/>
            <family val="2"/>
          </rPr>
          <t>Plus précisément 3,3
 SMIC Horaire * Nombre d'heures URSSAF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H26" authorId="0" shapeId="0" xr:uid="{3BFF5745-F7CF-4441-832C-88B97373A1FE}">
      <text>
        <r>
          <rPr>
            <sz val="9"/>
            <color indexed="81"/>
            <rFont val="Tahoma"/>
            <family val="2"/>
          </rPr>
          <t xml:space="preserve">OUI : le taux de 1,8 % s'active car le salaire brut cumullé est supérieur à la limite de 3,5 SMIC Cumulé. Dans le cas contraire.
</t>
        </r>
      </text>
    </comment>
    <comment ref="I26" authorId="0" shapeId="0" xr:uid="{87B7778B-0296-4457-A5EC-3D39D6B6225B}">
      <text>
        <r>
          <rPr>
            <sz val="9"/>
            <color indexed="81"/>
            <rFont val="Tahoma"/>
            <family val="2"/>
          </rPr>
          <t xml:space="preserve">Si le SALAIRE BRUT CUMULE est supérieur à la limite de 3,3 SMIC CUMULE alors la BASE CUMULEE est égale au SALAIRE BRUT CUMULE.  Sinon elle est de 0
</t>
        </r>
      </text>
    </comment>
    <comment ref="J27" authorId="0" shapeId="0" xr:uid="{EB53157B-3704-47E5-A350-FBC35B576E99}">
      <text>
        <r>
          <rPr>
            <sz val="9"/>
            <color indexed="81"/>
            <rFont val="Tahoma"/>
            <family val="2"/>
          </rPr>
          <t xml:space="preserve">La Base du Mois  est égale à la Base Cumulée du mois en cours - la Base Cumulée du mois précédent 
</t>
        </r>
      </text>
    </comment>
    <comment ref="L27" authorId="0" shapeId="0" xr:uid="{A78050F1-C578-4CEB-902F-54154CA8E0C2}">
      <text>
        <r>
          <rPr>
            <sz val="9"/>
            <color indexed="81"/>
            <rFont val="Tahoma"/>
            <family val="2"/>
          </rPr>
          <t>Le montant du mois est égale à la Base du mois en cours* 1,8 %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M27" authorId="0" shapeId="0" xr:uid="{0E11C48E-FA0B-400B-BE6E-C7EA26CB209B}">
      <text>
        <r>
          <rPr>
            <sz val="9"/>
            <color indexed="81"/>
            <rFont val="Tahoma"/>
            <family val="2"/>
          </rPr>
          <t xml:space="preserve">Dans le cas où le SALAIRE BRUT CUMULE est inférieur ou égal à 3,3 SMIC CUMULE Il faudra faire figurer dans la rubique ALLEGEMENT DE COTISATIONS un montant cumulé égal au SALAIRE BRUT CUMULE *1,8 % 
</t>
        </r>
      </text>
    </comment>
    <comment ref="N27" authorId="0" shapeId="0" xr:uid="{A7131DEB-97C9-4769-A7E8-02D50E18FD4D}">
      <text>
        <r>
          <rPr>
            <sz val="9"/>
            <color indexed="81"/>
            <rFont val="Tahoma"/>
            <family val="2"/>
          </rPr>
          <t xml:space="preserve">L'ALLEGEMENT du MOIS est égal à l'ALLEEGEMENT CUMULE du Mois en cours MOINS L'ALLEGEMENT CUMULE du mois précédent.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C26" authorId="0" shapeId="0" xr:uid="{3AD22B78-A035-4E63-ACC0-23497EAAAA43}">
      <text>
        <r>
          <rPr>
            <sz val="9"/>
            <color indexed="81"/>
            <rFont val="Tahoma"/>
            <family val="2"/>
          </rPr>
          <t>Le salarié dont le salaire de base est de 1800 euros  PLUS une prime d'ancienneté de 90 uros a effectué 8 heures supplémentaires Le nombre d'heures URSSAF est donc de 159,67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G26" authorId="0" shapeId="0" xr:uid="{60D26DE3-3C41-4E34-B3B2-1B8F72BE8FBA}">
      <text>
        <r>
          <rPr>
            <sz val="9"/>
            <color indexed="81"/>
            <rFont val="Tahoma"/>
            <family val="2"/>
          </rPr>
          <t>Plus précisément 3,3 
 SMIC Horaire * Nombre d'heures URSSAF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I26" authorId="0" shapeId="0" xr:uid="{5EDFC4FA-B9B2-4E34-AA2B-86330375AC81}">
      <text>
        <r>
          <rPr>
            <sz val="9"/>
            <color indexed="81"/>
            <rFont val="Tahoma"/>
            <family val="2"/>
          </rPr>
          <t xml:space="preserve">OUI : le taux de 1,8 % s'active car le salaire brut cumulé est supérieur à la limite de 3,3 SMIC Cumulé. Dans le cas contraire.
</t>
        </r>
      </text>
    </comment>
    <comment ref="K26" authorId="0" shapeId="0" xr:uid="{33DAC04C-986C-4611-A266-533212295656}">
      <text>
        <r>
          <rPr>
            <sz val="9"/>
            <color indexed="81"/>
            <rFont val="Tahoma"/>
            <family val="2"/>
          </rPr>
          <t xml:space="preserve">Si le SALAIRE BRUT CUMULE est supérieur à la limite de 3,3 SMIC CUMULE alors la BASE CUMULEE est égale au SALAIRE BRUT CUMULE.  Sinon elle est de 0
</t>
        </r>
      </text>
    </comment>
    <comment ref="J27" authorId="0" shapeId="0" xr:uid="{ED03F3A1-FA1B-4375-98AC-83DFA515DF92}">
      <text>
        <r>
          <rPr>
            <sz val="9"/>
            <color indexed="81"/>
            <rFont val="Tahoma"/>
            <family val="2"/>
          </rPr>
          <t xml:space="preserve">La Base du Mois  est égale à la Base Cumulée du mois en cours - la Base Cumulée du mois précédent 
</t>
        </r>
      </text>
    </comment>
    <comment ref="L27" authorId="0" shapeId="0" xr:uid="{97BDA977-903A-40F3-AC27-10610B627434}">
      <text>
        <r>
          <rPr>
            <sz val="9"/>
            <color indexed="81"/>
            <rFont val="Tahoma"/>
            <family val="2"/>
          </rPr>
          <t>Le montant du mois est égale à la Base du mois en cours* 1,8 %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N27" authorId="0" shapeId="0" xr:uid="{BA2EA5EE-7395-4CBF-93E8-2D23C5092E67}">
      <text>
        <r>
          <rPr>
            <sz val="9"/>
            <color indexed="81"/>
            <rFont val="Tahoma"/>
            <family val="2"/>
          </rPr>
          <t xml:space="preserve">L'ALLEGEMENT du MOIS est égal à l'ALLEEGEMENT CUMULE du Mois en cours MOINS L'ALLEGEMENT CUMULE du mois précédent.
</t>
        </r>
      </text>
    </comment>
    <comment ref="O27" authorId="0" shapeId="0" xr:uid="{22C5503B-3C17-4C93-B44B-AB39B859704B}">
      <text>
        <r>
          <rPr>
            <sz val="9"/>
            <color indexed="81"/>
            <rFont val="Tahoma"/>
            <family val="2"/>
          </rPr>
          <t xml:space="preserve">Dans le cas où le SALAIRE BRUT CUMULE est inférieur ou égal à 3,3 SMIC CUMULE Il faudra faire figurer dans la rubique ALLEGEMENT DE COTISATIONS un montant cumulé égal au SALAIRE BRUT CUMULE *1,8 % 
</t>
        </r>
      </text>
    </comment>
    <comment ref="G30" authorId="0" shapeId="0" xr:uid="{27D8D786-2F4B-40AD-83B3-6AED12AA9BDA}">
      <text>
        <r>
          <rPr>
            <sz val="9"/>
            <color indexed="81"/>
            <rFont val="Tahoma"/>
            <family val="2"/>
          </rPr>
          <t xml:space="preserve">La formule de calcul change compte tenu de la modification applicable du SMIC
</t>
        </r>
      </text>
    </comment>
    <comment ref="J37" authorId="0" shapeId="0" xr:uid="{206DBC02-39E3-4332-AD89-D5D36DFC399A}">
      <text>
        <r>
          <rPr>
            <b/>
            <sz val="9"/>
            <color indexed="81"/>
            <rFont val="Tahoma"/>
            <charset val="1"/>
          </rPr>
          <t xml:space="preserve">Puisque le salaire brut </t>
        </r>
        <r>
          <rPr>
            <sz val="9"/>
            <color indexed="81"/>
            <rFont val="Tahoma"/>
            <family val="2"/>
          </rPr>
          <t>cumulé (72000) est inférieur au</t>
        </r>
        <r>
          <rPr>
            <b/>
            <sz val="9"/>
            <color indexed="81"/>
            <rFont val="Tahoma"/>
            <charset val="1"/>
          </rPr>
          <t xml:space="preserve"> </t>
        </r>
        <r>
          <rPr>
            <sz val="9"/>
            <color indexed="81"/>
            <rFont val="Tahoma"/>
            <family val="2"/>
          </rPr>
          <t>Plafond Cumulé (73706.57) il n'y a pas lieu sur l'année d'activer la cotisation de 1,8 %</t>
        </r>
      </text>
    </comment>
  </commentList>
</comments>
</file>

<file path=xl/sharedStrings.xml><?xml version="1.0" encoding="utf-8"?>
<sst xmlns="http://schemas.openxmlformats.org/spreadsheetml/2006/main" count="270" uniqueCount="92">
  <si>
    <t xml:space="preserve">Le tableau de suivi des Allocations familiales </t>
  </si>
  <si>
    <t xml:space="preserve">La cotisation "ALLOCATIONS FAMILIALES"  sous le libellé FAMILLE  du bulletin de paie comporte 2 lignes </t>
  </si>
  <si>
    <t>SMICH</t>
  </si>
  <si>
    <t xml:space="preserve">Cotisations et contributions sociales </t>
  </si>
  <si>
    <t>Base</t>
  </si>
  <si>
    <t xml:space="preserve">Tx Salarial </t>
  </si>
  <si>
    <t xml:space="preserve">Tx patronal </t>
  </si>
  <si>
    <t xml:space="preserve">Part salariale </t>
  </si>
  <si>
    <t xml:space="preserve">Part patronale </t>
  </si>
  <si>
    <t xml:space="preserve">FAMILLE  </t>
  </si>
  <si>
    <t xml:space="preserve">La ligne de cotisation au taux patronal de 3,45 % est applicable à toutes les entreprises et a comme base de calcul le salaire brut du mois </t>
  </si>
  <si>
    <t xml:space="preserve">1. Si l'entreprise pratique la  régularisation progressive le tableau ci-dessous va nous permettre : </t>
  </si>
  <si>
    <t xml:space="preserve">* d'alimenter les  2 bases de calcul  ( mais la cotisation à 3,45 % est toujours activée sur la totalité du salaire brut) </t>
  </si>
  <si>
    <t>* et également d'alimenter la rubrique de bas de bulletin "ALLEGEMENT DE COTISATIONS" ( désormais facultative depuis Juillet 2023)</t>
  </si>
  <si>
    <t xml:space="preserve">En effet lorsque l'entreprise ne cotise pas au taux de 1,8 %  on considére que l'entreprise bénéficie d'un ALLEGEMENT de COTISATIONS égal à </t>
  </si>
  <si>
    <t>Base * 1,8 %</t>
  </si>
  <si>
    <t xml:space="preserve">Des régularisations de mois en mois sont susceptibles d'apparaître en cas de variation du salaire brut cumulé au-dessus ou au-dessous de la limite de 3,5 SMIC CUMULE </t>
  </si>
  <si>
    <t>A</t>
  </si>
  <si>
    <t xml:space="preserve">B </t>
  </si>
  <si>
    <t xml:space="preserve">C 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</si>
  <si>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</si>
  <si>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</si>
  <si>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</si>
  <si>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</si>
  <si>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</si>
  <si>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</si>
  <si>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</si>
  <si>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</si>
  <si>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</si>
  <si>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</si>
  <si>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</si>
  <si>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 xml:space="preserve">SMICH </t>
  </si>
  <si>
    <r>
      <t xml:space="preserve">SUIVI </t>
    </r>
    <r>
      <rPr>
        <b/>
        <sz val="11"/>
        <color theme="1"/>
        <rFont val="Times New Roman"/>
        <family val="1"/>
      </rPr>
      <t>ALLOCATIONS FAMILIALES</t>
    </r>
    <r>
      <rPr>
        <sz val="11"/>
        <color theme="1"/>
        <rFont val="Times New Roman"/>
        <family val="1"/>
      </rPr>
      <t xml:space="preserve"> EN  REGULARISATION PROGRESSIVE </t>
    </r>
  </si>
  <si>
    <t xml:space="preserve">Taux 1,8 </t>
  </si>
  <si>
    <t xml:space="preserve">Brut </t>
  </si>
  <si>
    <t xml:space="preserve">Heures du mois </t>
  </si>
  <si>
    <t xml:space="preserve">Heures du mois Cumulé </t>
  </si>
  <si>
    <t>Brut Cumulé</t>
  </si>
  <si>
    <t xml:space="preserve">Limite 3,5 SMIC Cumulé </t>
  </si>
  <si>
    <t>Base  Taux 3,45</t>
  </si>
  <si>
    <t xml:space="preserve">Oui/ Non </t>
  </si>
  <si>
    <t xml:space="preserve">Base cumulée </t>
  </si>
  <si>
    <t xml:space="preserve">Base du mois </t>
  </si>
  <si>
    <t xml:space="preserve">Montant Cumulé </t>
  </si>
  <si>
    <t xml:space="preserve">Montant du mois </t>
  </si>
  <si>
    <t>Suivi allégement  Cumulé</t>
  </si>
  <si>
    <t xml:space="preserve">Suivi allégement du mois </t>
  </si>
  <si>
    <t xml:space="preserve">Janvier </t>
  </si>
  <si>
    <t xml:space="preserve">Février </t>
  </si>
  <si>
    <t>Mars</t>
  </si>
  <si>
    <t>Avril</t>
  </si>
  <si>
    <t>Mai</t>
  </si>
  <si>
    <t>Juin</t>
  </si>
  <si>
    <t>Juillet</t>
  </si>
  <si>
    <t>Août</t>
  </si>
  <si>
    <t>Septembre</t>
  </si>
  <si>
    <t>Octobre</t>
  </si>
  <si>
    <t>Novembre</t>
  </si>
  <si>
    <t>Décembre</t>
  </si>
  <si>
    <t>C</t>
  </si>
  <si>
    <r>
      <t xml:space="preserve">SUIVI </t>
    </r>
    <r>
      <rPr>
        <b/>
        <sz val="11"/>
        <color theme="1"/>
        <rFont val="Times New Roman"/>
        <family val="1"/>
      </rPr>
      <t>ALLOCATIONS FAMILIALES</t>
    </r>
    <r>
      <rPr>
        <sz val="11"/>
        <color theme="1"/>
        <rFont val="Times New Roman"/>
        <family val="1"/>
      </rPr>
      <t xml:space="preserve"> EN  REGULARISATION en Fin d'ANNEE</t>
    </r>
  </si>
  <si>
    <t>NB.</t>
  </si>
  <si>
    <t xml:space="preserve">Sur le BP </t>
  </si>
  <si>
    <t xml:space="preserve">dans la rubrique </t>
  </si>
  <si>
    <t xml:space="preserve">Allégements de cotisations employeur </t>
  </si>
  <si>
    <t xml:space="preserve">L'allègement  apparaîtra avec le même signe que celui figurant sur ce tableau </t>
  </si>
  <si>
    <t xml:space="preserve">En revanche  cet allégement n'apparaît pas dans la rubrique </t>
  </si>
  <si>
    <t xml:space="preserve">Exonérations et allègements de cotisations </t>
  </si>
  <si>
    <t xml:space="preserve">Ceci est vrai pour l'ensemble des tableaux de ce classeur </t>
  </si>
  <si>
    <t>La ligne de cotisation au taux patronal de 1,8  % ne s'active que lorsque le salaire brut   a dépassé la limite de (3,3 * SMIC Horaire * Nombre d'heures URRSAF )</t>
  </si>
  <si>
    <t xml:space="preserve">L'activation ou non de la cotisation de 1,8 % doit s'apprècier sur l'année. </t>
  </si>
  <si>
    <r>
      <t xml:space="preserve">La ligne de cotisation au taux patronal de 1,8  % ne s'active que lorsque le salaire brut   a dépassé la limite de </t>
    </r>
    <r>
      <rPr>
        <b/>
        <sz val="11"/>
        <color theme="1"/>
        <rFont val="Times New Roman"/>
        <family val="1"/>
      </rPr>
      <t>(3,3 * SMIC Horaire * Nombre d'heures URRSAF )</t>
    </r>
  </si>
  <si>
    <t>Le tableau de suivi des Allocations familiales  (2025)</t>
  </si>
  <si>
    <t xml:space="preserve">Le SMICHoraire applicable est le SMICHoraire au 31/12/2023 soit 11,52 dans l'attente du décret d'application . La tendance va dans le sens de l'application d'un SMIC horaire au 01/01/2025 comme base du calcul. </t>
  </si>
  <si>
    <t xml:space="preserve">A noter que ce dispositif est amené à disparaître en 2026. </t>
  </si>
  <si>
    <t xml:space="preserve">Limite 3,3 SMIC Cumulé </t>
  </si>
  <si>
    <t xml:space="preserve">Le tableau de suivi des Allocations familiales  (2025) en régularisation progressive </t>
  </si>
  <si>
    <t>SMICH au 01/01/2025</t>
  </si>
  <si>
    <t xml:space="preserve">SMCH au 01/01/2025 </t>
  </si>
  <si>
    <t>Le plafond limite de 3,3 SMIC est paramétré dans le tableau sur la cellule B 22</t>
  </si>
  <si>
    <t xml:space="preserve">Le SMICHoraire applicable est le SMICHoraire au 31/12/2023 soit 11,52 dans l'attente du décret d'application . La tendance va dans le sens de l'application d'un SMIC horaire au 01/01/2025 comme base </t>
  </si>
  <si>
    <t xml:space="preserve">Le tableau de suivi des Allocations familiales 2025 (Régularisation en fin d'année) </t>
  </si>
  <si>
    <t xml:space="preserve">Limite de 3,3 SMIC </t>
  </si>
  <si>
    <t>SMICH au 31.12.2023</t>
  </si>
  <si>
    <t>SMICH 31/12/2023</t>
  </si>
  <si>
    <t xml:space="preserve">Ce tableau est établi avec un SMICH  de référence au 31/12/2023 ( en attente du décret d'application) </t>
  </si>
  <si>
    <t xml:space="preserve"> L 'activation ou non de la cotisation de 1,8 % doit s'apprècier sur l'année. </t>
  </si>
  <si>
    <t xml:space="preserve">L 'activation ou non de la cotisation de 1,8 % doit s'apprècier sur l'année. </t>
  </si>
  <si>
    <r>
      <t xml:space="preserve">La ligne de cotisation au taux patronal de 1,8  % ne s'active que lorsque le salaire brut   a dépassé la limite de </t>
    </r>
    <r>
      <rPr>
        <b/>
        <sz val="11"/>
        <color theme="1"/>
        <rFont val="Times New Roman"/>
        <family val="1"/>
      </rPr>
      <t>(3,3 * SMIC Horaire * Nombre d'heures URRSAF</t>
    </r>
    <r>
      <rPr>
        <sz val="11"/>
        <color theme="1"/>
        <rFont val="Times New Roman"/>
        <family val="1"/>
      </rPr>
      <t xml:space="preserve"> )</t>
    </r>
  </si>
  <si>
    <t>La base cumulée de Janvier à Novembre était de 62000</t>
  </si>
  <si>
    <t>Pour modifier le montant du SMICH vous modifierez la cellule B21</t>
  </si>
  <si>
    <t>Le tableau est établi en référence à un SMIC horaire au 31.12.2023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</si>
</sst>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0.0000"/>
    <numFmt numFmtId="165" formatCode="_-* #,##0.00\ _€_-;\-* #,##0.00\ _€_-;_-* &quot;-&quot;??\ _€_-;_-@_-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sz val="11"/>
      <color theme="1"/>
      <name val="Times New Roman"/>
      <family val="1"/>
    </font>
    <font>
      <sz val="11"/>
      <color rgb="FF000000"/>
      <name val="Arial Narrow"/>
      <family val="2"/>
    </font>
    <font>
      <b/>
      <sz val="9"/>
      <name val="Arial Narrow"/>
      <family val="2"/>
    </font>
    <font>
      <sz val="9"/>
      <color rgb="FF000000"/>
      <name val="Arial Narrow"/>
      <family val="2"/>
    </font>
    <font>
      <sz val="8"/>
      <color theme="1"/>
      <name val="Arial Narrow"/>
      <family val="2"/>
    </font>
    <font>
      <sz val="11"/>
      <color theme="1"/>
      <name val="Arial Narrow"/>
      <family val="2"/>
    </font>
    <font>
      <sz val="8"/>
      <name val="Arial Narrow"/>
      <family val="2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8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"/>
      <name val="Calibri"/>
      <family val="2"/>
      <scheme val="minor"/>
    </font>
    <font>
      <sz val="12"/>
      <color theme="1"/>
      <name val="Arial Narrow"/>
      <family val="2"/>
    </font>
    <font>
      <b/>
      <sz val="11"/>
      <name val="Times New Roman"/>
      <family val="1"/>
    </font>
    <font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0"/>
      <color theme="1"/>
      <name val="Times New Roman"/>
      <family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92">
    <xf numFmtId="0" fontId="0" fillId="0" borderId="0" xfId="0"/>
    <xf numFmtId="0" fontId="3" fillId="0" borderId="0" xfId="0" applyFont="1"/>
    <xf numFmtId="4" fontId="4" fillId="0" borderId="4" xfId="0" applyNumberFormat="1" applyFont="1" applyBorder="1" applyAlignment="1">
      <alignment horizontal="center"/>
    </xf>
    <xf numFmtId="0" fontId="0" fillId="0" borderId="5" xfId="0" applyBorder="1"/>
    <xf numFmtId="4" fontId="4" fillId="0" borderId="4" xfId="0" applyNumberFormat="1" applyFont="1" applyBorder="1" applyAlignment="1">
      <alignment horizontal="right"/>
    </xf>
    <xf numFmtId="10" fontId="4" fillId="0" borderId="4" xfId="2" applyNumberFormat="1" applyFont="1" applyBorder="1" applyAlignment="1">
      <alignment horizontal="right"/>
    </xf>
    <xf numFmtId="0" fontId="6" fillId="0" borderId="0" xfId="0" applyFont="1"/>
    <xf numFmtId="0" fontId="7" fillId="0" borderId="0" xfId="0" applyFont="1" applyAlignment="1">
      <alignment horizontal="center"/>
    </xf>
    <xf numFmtId="0" fontId="8" fillId="0" borderId="0" xfId="0" applyFont="1"/>
    <xf numFmtId="0" fontId="9" fillId="0" borderId="0" xfId="0" applyFont="1" applyAlignment="1">
      <alignment horizontal="left" vertical="center"/>
    </xf>
    <xf numFmtId="164" fontId="8" fillId="0" borderId="0" xfId="0" applyNumberFormat="1" applyFont="1"/>
    <xf numFmtId="4" fontId="8" fillId="0" borderId="0" xfId="0" applyNumberFormat="1" applyFo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0" fontId="4" fillId="0" borderId="4" xfId="2" applyNumberFormat="1" applyFont="1" applyFill="1" applyBorder="1" applyAlignment="1">
      <alignment horizontal="right"/>
    </xf>
    <xf numFmtId="0" fontId="7" fillId="0" borderId="0" xfId="0" applyFont="1"/>
    <xf numFmtId="0" fontId="5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horizontal="right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43" fontId="3" fillId="0" borderId="4" xfId="1" applyFont="1" applyBorder="1" applyAlignment="1">
      <alignment horizontal="center" vertical="center" wrapText="1"/>
    </xf>
    <xf numFmtId="165" fontId="3" fillId="0" borderId="4" xfId="0" applyNumberFormat="1" applyFont="1" applyBorder="1" applyAlignment="1">
      <alignment horizontal="center" vertical="center" wrapText="1"/>
    </xf>
    <xf numFmtId="165" fontId="3" fillId="0" borderId="4" xfId="0" applyNumberFormat="1" applyFont="1" applyBorder="1"/>
    <xf numFmtId="165" fontId="3" fillId="5" borderId="4" xfId="0" applyNumberFormat="1" applyFont="1" applyFill="1" applyBorder="1"/>
    <xf numFmtId="165" fontId="3" fillId="0" borderId="4" xfId="0" applyNumberFormat="1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165" fontId="3" fillId="0" borderId="0" xfId="0" applyNumberFormat="1" applyFont="1"/>
    <xf numFmtId="43" fontId="3" fillId="5" borderId="4" xfId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3" fontId="3" fillId="0" borderId="2" xfId="1" applyFont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3" fontId="3" fillId="0" borderId="9" xfId="1" applyFont="1" applyBorder="1" applyAlignment="1">
      <alignment horizontal="center" vertical="center" wrapText="1"/>
    </xf>
    <xf numFmtId="43" fontId="3" fillId="0" borderId="0" xfId="1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/>
    </xf>
    <xf numFmtId="165" fontId="3" fillId="0" borderId="4" xfId="0" applyNumberFormat="1" applyFont="1" applyBorder="1" applyAlignment="1">
      <alignment horizontal="center" vertical="center"/>
    </xf>
    <xf numFmtId="0" fontId="3" fillId="5" borderId="8" xfId="0" applyFont="1" applyFill="1" applyBorder="1" applyAlignment="1" applyProtection="1">
      <alignment horizontal="center"/>
      <protection locked="0"/>
    </xf>
    <xf numFmtId="0" fontId="3" fillId="5" borderId="4" xfId="0" applyFont="1" applyFill="1" applyBorder="1" applyAlignment="1" applyProtection="1">
      <alignment horizontal="center"/>
      <protection locked="0"/>
    </xf>
    <xf numFmtId="165" fontId="3" fillId="2" borderId="4" xfId="0" applyNumberFormat="1" applyFont="1" applyFill="1" applyBorder="1" applyAlignment="1">
      <alignment horizontal="center" vertical="center" wrapText="1"/>
    </xf>
    <xf numFmtId="43" fontId="3" fillId="2" borderId="2" xfId="1" applyFont="1" applyFill="1" applyBorder="1" applyAlignment="1">
      <alignment horizontal="center" vertical="center" wrapText="1"/>
    </xf>
    <xf numFmtId="43" fontId="3" fillId="2" borderId="4" xfId="1" applyFont="1" applyFill="1" applyBorder="1" applyAlignment="1">
      <alignment horizontal="center" vertical="center" wrapText="1"/>
    </xf>
    <xf numFmtId="165" fontId="3" fillId="2" borderId="4" xfId="0" quotePrefix="1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vertical="center"/>
    </xf>
    <xf numFmtId="0" fontId="16" fillId="0" borderId="0" xfId="0" applyFont="1"/>
    <xf numFmtId="0" fontId="3" fillId="0" borderId="8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43" fontId="20" fillId="0" borderId="4" xfId="1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/>
    </xf>
    <xf numFmtId="0" fontId="18" fillId="0" borderId="13" xfId="0" applyFont="1" applyBorder="1"/>
    <xf numFmtId="0" fontId="18" fillId="0" borderId="15" xfId="0" applyFont="1" applyBorder="1"/>
    <xf numFmtId="0" fontId="18" fillId="0" borderId="14" xfId="0" applyFont="1" applyBorder="1"/>
    <xf numFmtId="0" fontId="18" fillId="0" borderId="0" xfId="0" applyFont="1"/>
    <xf numFmtId="0" fontId="18" fillId="0" borderId="10" xfId="0" applyFont="1" applyBorder="1"/>
    <xf numFmtId="0" fontId="19" fillId="0" borderId="0" xfId="0" applyFont="1"/>
    <xf numFmtId="0" fontId="16" fillId="0" borderId="6" xfId="0" applyFont="1" applyBorder="1"/>
    <xf numFmtId="0" fontId="16" fillId="0" borderId="1" xfId="0" applyFont="1" applyBorder="1"/>
    <xf numFmtId="0" fontId="16" fillId="0" borderId="11" xfId="0" applyFont="1" applyBorder="1"/>
    <xf numFmtId="43" fontId="3" fillId="0" borderId="4" xfId="0" applyNumberFormat="1" applyFont="1" applyBorder="1"/>
    <xf numFmtId="165" fontId="10" fillId="0" borderId="4" xfId="0" applyNumberFormat="1" applyFont="1" applyBorder="1" applyAlignment="1">
      <alignment horizontal="center" vertical="center" wrapText="1"/>
    </xf>
    <xf numFmtId="0" fontId="10" fillId="0" borderId="0" xfId="0" applyFont="1"/>
    <xf numFmtId="0" fontId="11" fillId="4" borderId="6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4" fontId="4" fillId="0" borderId="2" xfId="0" applyNumberFormat="1" applyFont="1" applyBorder="1" applyAlignment="1">
      <alignment horizontal="center" vertical="center" wrapText="1"/>
    </xf>
    <xf numFmtId="4" fontId="4" fillId="0" borderId="3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left" vertical="center"/>
    </xf>
    <xf numFmtId="0" fontId="3" fillId="3" borderId="0" xfId="0" applyFont="1" applyFill="1" applyAlignment="1">
      <alignment horizontal="center" vertical="center" wrapText="1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2" fillId="5" borderId="1" xfId="0" applyFont="1" applyFill="1" applyBorder="1" applyAlignment="1">
      <alignment horizontal="center"/>
    </xf>
    <xf numFmtId="14" fontId="3" fillId="0" borderId="14" xfId="0" applyNumberFormat="1" applyFont="1" applyBorder="1" applyAlignment="1">
      <alignment horizontal="center"/>
    </xf>
    <xf numFmtId="0" fontId="18" fillId="0" borderId="14" xfId="0" applyFont="1" applyBorder="1" applyAlignment="1">
      <alignment horizontal="left"/>
    </xf>
    <xf numFmtId="0" fontId="18" fillId="0" borderId="0" xfId="0" applyFont="1" applyAlignment="1">
      <alignment horizontal="left"/>
    </xf>
    <xf numFmtId="0" fontId="17" fillId="6" borderId="6" xfId="0" applyFont="1" applyFill="1" applyBorder="1" applyAlignment="1">
      <alignment horizontal="center" vertical="center" wrapText="1"/>
    </xf>
    <xf numFmtId="0" fontId="17" fillId="6" borderId="1" xfId="0" applyFont="1" applyFill="1" applyBorder="1" applyAlignment="1">
      <alignment horizontal="center" vertical="center" wrapText="1"/>
    </xf>
    <xf numFmtId="0" fontId="17" fillId="6" borderId="1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1" fillId="6" borderId="6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1" fillId="6" borderId="11" xfId="0" applyFont="1" applyFill="1" applyBorder="1" applyAlignment="1">
      <alignment horizontal="center" vertical="center" wrapText="1"/>
    </xf>
    <xf numFmtId="0" fontId="3" fillId="6" borderId="0" xfId="0" applyFont="1" applyFill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</xdr:row>
      <xdr:rowOff>0</xdr:rowOff>
    </xdr:from>
    <xdr:to>
      <xdr:col>13</xdr:col>
      <xdr:colOff>407149</xdr:colOff>
      <xdr:row>24</xdr:row>
      <xdr:rowOff>25330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1D6F25FA-72FE-4F2A-8DA6-7F35FEE7408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365760"/>
          <a:ext cx="9916909" cy="40486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244929</xdr:colOff>
      <xdr:row>35</xdr:row>
      <xdr:rowOff>87086</xdr:rowOff>
    </xdr:from>
    <xdr:to>
      <xdr:col>11</xdr:col>
      <xdr:colOff>381000</xdr:colOff>
      <xdr:row>39</xdr:row>
      <xdr:rowOff>0</xdr:rowOff>
    </xdr:to>
    <xdr:cxnSp macro="">
      <xdr:nvCxnSpPr>
        <xdr:cNvPr id="3" name="Connecteur droit avec flèche 2">
          <a:extLst>
            <a:ext uri="{FF2B5EF4-FFF2-40B4-BE49-F238E27FC236}">
              <a16:creationId xmlns:a16="http://schemas.microsoft.com/office/drawing/2014/main" id="{A616E3B7-B8C6-523D-28FB-6DF9B68E4EC6}"/>
            </a:ext>
          </a:extLst>
        </xdr:cNvPr>
        <xdr:cNvCxnSpPr/>
      </xdr:nvCxnSpPr>
      <xdr:spPr>
        <a:xfrm>
          <a:off x="8126186" y="8953500"/>
          <a:ext cx="914400" cy="914400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ienvenue\Desktop\EXCEL%20POUR%20LA%20PAIE\TABLEAUX%20DE%20SUIVI\EXPLICATION%20DES%20TABLEAUX%20DE%20SUIVI%20-%202023.xlsx" TargetMode="External"/><Relationship Id="rId1" Type="http://schemas.openxmlformats.org/officeDocument/2006/relationships/externalLinkPath" Target="/fa77d33fea66a78b/Desktop/EXCEL%20POUR%20LA%20PAIE%202024/TELECHARGEMENTS%202024/CHAPITRES%207%20-%208%20-%209/EXPLICATION%20DES%20TABLEAUX%20DE%20SUIVI%20-%20202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INTRODUCTION "/>
      <sheetName val="SUIVI RETRAITE "/>
      <sheetName val="SUIVI RED GENERALE DE COT. "/>
      <sheetName val="TABLE 2023 "/>
      <sheetName val="SUIVI ALLOCATIONS FAMILIALES "/>
      <sheetName val="TAUX NEUTRE "/>
      <sheetName val="PRE CALCUL "/>
      <sheetName val="ENONCE EXERCICE "/>
      <sheetName val="HEURES SUPPLEMENTAIRES "/>
      <sheetName val="BP MAQUETTE "/>
      <sheetName val="BP  JANVIER   "/>
      <sheetName val="BP FEVRIER    "/>
      <sheetName val="BP MARS   "/>
      <sheetName val="BP AVRIL    "/>
      <sheetName val="BP MAI     "/>
      <sheetName val="DONNEES "/>
      <sheetName val="SUIVI 2.5  SMIC   "/>
      <sheetName val="BP JUIN "/>
      <sheetName val="BP "/>
    </sheetNames>
    <sheetDataSet>
      <sheetData sheetId="0"/>
      <sheetData sheetId="1"/>
      <sheetData sheetId="2">
        <row r="67">
          <cell r="D67">
            <v>151.66999999999999</v>
          </cell>
        </row>
        <row r="68">
          <cell r="D68">
            <v>151.66999999999999</v>
          </cell>
        </row>
        <row r="69">
          <cell r="D69">
            <v>151.66999999999999</v>
          </cell>
        </row>
        <row r="70">
          <cell r="D70">
            <v>151.66999999999999</v>
          </cell>
        </row>
        <row r="71">
          <cell r="D71">
            <v>151.66999999999999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57">
          <cell r="C57">
            <v>4590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5A5E8F-5D8E-4094-A1B8-203879B2C8D7}">
  <dimension ref="A1:Q52"/>
  <sheetViews>
    <sheetView topLeftCell="A6" zoomScale="135" workbookViewId="0">
      <selection activeCell="B19" sqref="B19"/>
    </sheetView>
  </sheetViews>
  <sheetFormatPr baseColWidth="10" defaultColWidth="11.44140625" defaultRowHeight="13.8" x14ac:dyDescent="0.25"/>
  <cols>
    <col min="1" max="1" width="11.33203125" style="1" customWidth="1"/>
    <col min="2" max="8" width="10.88671875" style="1" customWidth="1"/>
    <col min="9" max="9" width="20.33203125" style="1" customWidth="1"/>
    <col min="10" max="12" width="10.88671875" style="1" customWidth="1"/>
    <col min="13" max="13" width="11.6640625" style="1" customWidth="1"/>
    <col min="14" max="14" width="11.44140625" style="1"/>
    <col min="15" max="15" width="6.109375" style="29" customWidth="1"/>
    <col min="16" max="16384" width="11.44140625" style="1"/>
  </cols>
  <sheetData>
    <row r="1" spans="1:17" ht="21" x14ac:dyDescent="0.4">
      <c r="A1" s="67" t="s">
        <v>72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3" spans="1:17" x14ac:dyDescent="0.25">
      <c r="B3" s="1" t="s">
        <v>1</v>
      </c>
    </row>
    <row r="5" spans="1:17" customFormat="1" ht="26.4" customHeight="1" x14ac:dyDescent="0.3">
      <c r="A5" s="68" t="s">
        <v>3</v>
      </c>
      <c r="B5" s="69"/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3"/>
      <c r="O5" s="35"/>
    </row>
    <row r="6" spans="1:17" s="8" customFormat="1" ht="14.4" x14ac:dyDescent="0.3">
      <c r="A6" s="70" t="s">
        <v>9</v>
      </c>
      <c r="B6" s="71"/>
      <c r="C6" s="4">
        <v>2000</v>
      </c>
      <c r="D6" s="4"/>
      <c r="E6" s="5">
        <v>3.4500000000000003E-2</v>
      </c>
      <c r="F6" s="4"/>
      <c r="G6" s="4">
        <f>ROUND(C6*E6,2)</f>
        <v>69</v>
      </c>
      <c r="H6" s="6"/>
      <c r="I6" s="72"/>
      <c r="J6" s="72"/>
      <c r="M6" s="73"/>
      <c r="N6" s="73"/>
      <c r="O6" s="36"/>
      <c r="P6" s="10"/>
      <c r="Q6" s="11"/>
    </row>
    <row r="7" spans="1:17" s="8" customFormat="1" ht="14.4" x14ac:dyDescent="0.3">
      <c r="A7" s="12"/>
      <c r="B7" s="13"/>
      <c r="C7" s="4"/>
      <c r="D7" s="4"/>
      <c r="E7" s="14">
        <v>1.7999999999999999E-2</v>
      </c>
      <c r="F7" s="4"/>
      <c r="G7" s="4">
        <f>ROUND(C7*E7,2)</f>
        <v>0</v>
      </c>
      <c r="H7" s="6"/>
      <c r="I7" s="15"/>
      <c r="J7" s="7"/>
      <c r="M7" s="9"/>
      <c r="N7" s="9"/>
      <c r="O7" s="36"/>
      <c r="P7" s="10"/>
      <c r="Q7" s="11"/>
    </row>
    <row r="8" spans="1:17" s="8" customFormat="1" ht="14.4" x14ac:dyDescent="0.3">
      <c r="A8" s="16"/>
      <c r="B8" s="16"/>
      <c r="C8" s="17"/>
      <c r="D8" s="17"/>
      <c r="E8" s="17"/>
      <c r="F8" s="17"/>
      <c r="G8" s="17"/>
      <c r="H8" s="6"/>
      <c r="I8" s="15"/>
      <c r="J8" s="7"/>
      <c r="M8" s="9"/>
      <c r="N8" s="9"/>
      <c r="O8" s="36"/>
      <c r="P8" s="10"/>
      <c r="Q8" s="11"/>
    </row>
    <row r="9" spans="1:17" x14ac:dyDescent="0.25">
      <c r="B9" s="1" t="s">
        <v>10</v>
      </c>
    </row>
    <row r="10" spans="1:17" x14ac:dyDescent="0.25">
      <c r="B10" s="1" t="s">
        <v>71</v>
      </c>
    </row>
    <row r="11" spans="1:17" x14ac:dyDescent="0.25">
      <c r="B11" s="1" t="s">
        <v>80</v>
      </c>
    </row>
    <row r="12" spans="1:17" x14ac:dyDescent="0.25">
      <c r="B12" s="1" t="s">
        <v>70</v>
      </c>
    </row>
    <row r="13" spans="1:17" x14ac:dyDescent="0.25">
      <c r="B13" s="1" t="s">
        <v>11</v>
      </c>
    </row>
    <row r="14" spans="1:17" x14ac:dyDescent="0.25">
      <c r="C14" s="1" t="s">
        <v>12</v>
      </c>
    </row>
    <row r="15" spans="1:17" x14ac:dyDescent="0.25">
      <c r="C15" s="1" t="s">
        <v>13</v>
      </c>
    </row>
    <row r="16" spans="1:17" x14ac:dyDescent="0.25">
      <c r="D16" s="1" t="s">
        <v>14</v>
      </c>
    </row>
    <row r="17" spans="1:15" x14ac:dyDescent="0.25">
      <c r="E17" s="1" t="s">
        <v>15</v>
      </c>
    </row>
    <row r="18" spans="1:15" x14ac:dyDescent="0.25">
      <c r="D18" s="1" t="s">
        <v>16</v>
      </c>
    </row>
    <row r="19" spans="1:15" x14ac:dyDescent="0.25">
      <c r="B19" s="64" t="s">
        <v>74</v>
      </c>
    </row>
    <row r="21" spans="1:15" x14ac:dyDescent="0.25">
      <c r="A21" s="19" t="s">
        <v>17</v>
      </c>
      <c r="B21" s="19" t="s">
        <v>18</v>
      </c>
      <c r="C21" s="19" t="s">
        <v>19</v>
      </c>
      <c r="D21" s="19" t="s">
        <v>20</v>
      </c>
      <c r="E21" s="19" t="s">
        <v>21</v>
      </c>
      <c r="F21" s="19" t="s">
        <v>22</v>
      </c>
      <c r="G21" s="19" t="s">
        <v>23</v>
      </c>
      <c r="H21" s="19" t="s">
        <v>24</v>
      </c>
      <c r="I21" s="19" t="s">
        <v>25</v>
      </c>
      <c r="J21" s="19" t="s">
        <v>26</v>
      </c>
      <c r="K21" s="19" t="s">
        <v>27</v>
      </c>
      <c r="L21" s="19" t="s">
        <v>28</v>
      </c>
      <c r="M21" s="19" t="s">
        <v>29</v>
      </c>
      <c r="N21" s="19" t="s">
        <v>30</v>
      </c>
    </row>
    <row r="22" spans="1:15" ht="25.5" customHeight="1" x14ac:dyDescent="0.25">
      <c r="A22" s="49" t="s">
        <v>2</v>
      </c>
      <c r="B22" s="34">
        <v>11.52</v>
      </c>
      <c r="C22" s="75" t="s">
        <v>83</v>
      </c>
      <c r="D22" s="76"/>
      <c r="O22" s="21">
        <v>21</v>
      </c>
    </row>
    <row r="23" spans="1:15" ht="25.5" customHeight="1" x14ac:dyDescent="0.25">
      <c r="A23" s="21" t="s">
        <v>31</v>
      </c>
      <c r="B23" s="34">
        <v>11.88</v>
      </c>
      <c r="C23" s="77" t="s">
        <v>78</v>
      </c>
      <c r="D23" s="78"/>
      <c r="O23" s="21">
        <v>22</v>
      </c>
    </row>
    <row r="24" spans="1:15" ht="28.5" customHeight="1" x14ac:dyDescent="0.25">
      <c r="C24" s="74" t="s">
        <v>32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21">
        <v>23</v>
      </c>
    </row>
    <row r="25" spans="1:15" ht="30.75" customHeight="1" x14ac:dyDescent="0.25">
      <c r="H25" s="65" t="s">
        <v>33</v>
      </c>
      <c r="I25" s="66"/>
      <c r="J25" s="66"/>
      <c r="K25" s="66"/>
      <c r="L25" s="66"/>
      <c r="M25" s="66"/>
      <c r="N25" s="66"/>
      <c r="O25" s="21">
        <v>24</v>
      </c>
    </row>
    <row r="26" spans="1:15" ht="44.25" customHeight="1" x14ac:dyDescent="0.25">
      <c r="B26" s="21" t="s">
        <v>34</v>
      </c>
      <c r="C26" s="21" t="s">
        <v>35</v>
      </c>
      <c r="D26" s="21" t="s">
        <v>36</v>
      </c>
      <c r="E26" s="21" t="s">
        <v>37</v>
      </c>
      <c r="F26" s="50" t="s">
        <v>75</v>
      </c>
      <c r="G26" s="21" t="s">
        <v>39</v>
      </c>
      <c r="H26" s="23" t="s">
        <v>40</v>
      </c>
      <c r="I26" s="23" t="s">
        <v>41</v>
      </c>
      <c r="J26" s="21" t="s">
        <v>42</v>
      </c>
      <c r="K26" s="21" t="s">
        <v>43</v>
      </c>
      <c r="L26" s="21" t="s">
        <v>44</v>
      </c>
      <c r="M26" s="21" t="s">
        <v>45</v>
      </c>
      <c r="N26" s="32" t="s">
        <v>46</v>
      </c>
      <c r="O26" s="21">
        <v>25</v>
      </c>
    </row>
    <row r="27" spans="1:15" ht="38.25" customHeight="1" x14ac:dyDescent="0.25">
      <c r="A27" s="24" t="s">
        <v>47</v>
      </c>
      <c r="B27" s="31">
        <v>7000</v>
      </c>
      <c r="C27" s="31">
        <v>159.66999999999999</v>
      </c>
      <c r="D27" s="24"/>
      <c r="E27" s="25"/>
      <c r="F27" s="25"/>
      <c r="G27" s="24"/>
      <c r="H27" s="24"/>
      <c r="I27" s="25"/>
      <c r="J27" s="25"/>
      <c r="K27" s="25"/>
      <c r="L27" s="26"/>
      <c r="M27" s="24"/>
      <c r="N27" s="33"/>
      <c r="O27" s="21">
        <v>26</v>
      </c>
    </row>
    <row r="28" spans="1:15" ht="38.25" customHeight="1" x14ac:dyDescent="0.25">
      <c r="A28" s="24" t="s">
        <v>48</v>
      </c>
      <c r="B28" s="31">
        <v>5000</v>
      </c>
      <c r="C28" s="31">
        <f>'[1]SUIVI RED GENERALE DE COT. '!D67</f>
        <v>151.66999999999999</v>
      </c>
      <c r="D28" s="24"/>
      <c r="E28" s="25"/>
      <c r="F28" s="25"/>
      <c r="G28" s="24"/>
      <c r="H28" s="24"/>
      <c r="I28" s="25"/>
      <c r="J28" s="25"/>
      <c r="K28" s="25"/>
      <c r="L28" s="26"/>
      <c r="M28" s="24"/>
      <c r="N28" s="33"/>
      <c r="O28" s="21">
        <v>27</v>
      </c>
    </row>
    <row r="29" spans="1:15" ht="38.25" customHeight="1" x14ac:dyDescent="0.25">
      <c r="A29" s="24" t="s">
        <v>49</v>
      </c>
      <c r="B29" s="31">
        <v>6000</v>
      </c>
      <c r="C29" s="31">
        <f>'[1]SUIVI RED GENERALE DE COT. '!D68</f>
        <v>151.66999999999999</v>
      </c>
      <c r="D29" s="24"/>
      <c r="E29" s="25"/>
      <c r="F29" s="25"/>
      <c r="G29" s="24"/>
      <c r="H29" s="24"/>
      <c r="I29" s="25"/>
      <c r="J29" s="25"/>
      <c r="K29" s="25"/>
      <c r="L29" s="26"/>
      <c r="M29" s="24"/>
      <c r="N29" s="33"/>
      <c r="O29" s="21">
        <v>28</v>
      </c>
    </row>
    <row r="30" spans="1:15" ht="38.25" customHeight="1" x14ac:dyDescent="0.25">
      <c r="A30" s="24" t="s">
        <v>50</v>
      </c>
      <c r="B30" s="31">
        <v>7000</v>
      </c>
      <c r="C30" s="31">
        <f>'[1]SUIVI RED GENERALE DE COT. '!D69</f>
        <v>151.66999999999999</v>
      </c>
      <c r="D30" s="24"/>
      <c r="E30" s="25"/>
      <c r="F30" s="25"/>
      <c r="G30" s="24"/>
      <c r="H30" s="24"/>
      <c r="I30" s="25"/>
      <c r="J30" s="25"/>
      <c r="K30" s="25"/>
      <c r="L30" s="26"/>
      <c r="M30" s="24"/>
      <c r="N30" s="33"/>
      <c r="O30" s="21">
        <v>29</v>
      </c>
    </row>
    <row r="31" spans="1:15" ht="38.25" customHeight="1" x14ac:dyDescent="0.25">
      <c r="A31" s="24" t="s">
        <v>51</v>
      </c>
      <c r="B31" s="31">
        <v>3000</v>
      </c>
      <c r="C31" s="31">
        <f>'[1]SUIVI RED GENERALE DE COT. '!D70</f>
        <v>151.66999999999999</v>
      </c>
      <c r="D31" s="24"/>
      <c r="E31" s="25"/>
      <c r="F31" s="25"/>
      <c r="G31" s="24"/>
      <c r="H31" s="24"/>
      <c r="I31" s="25"/>
      <c r="J31" s="25"/>
      <c r="K31" s="25"/>
      <c r="L31" s="26"/>
      <c r="M31" s="24"/>
      <c r="N31" s="33"/>
      <c r="O31" s="21">
        <v>30</v>
      </c>
    </row>
    <row r="32" spans="1:15" ht="38.25" customHeight="1" x14ac:dyDescent="0.25">
      <c r="A32" s="24" t="s">
        <v>52</v>
      </c>
      <c r="B32" s="31">
        <v>7000</v>
      </c>
      <c r="C32" s="31">
        <f>'[1]SUIVI RED GENERALE DE COT. '!$D$71</f>
        <v>151.66999999999999</v>
      </c>
      <c r="D32" s="24"/>
      <c r="E32" s="25"/>
      <c r="F32" s="25"/>
      <c r="G32" s="28"/>
      <c r="H32" s="28"/>
      <c r="I32" s="28"/>
      <c r="J32" s="28"/>
      <c r="K32" s="28"/>
      <c r="L32" s="26"/>
      <c r="M32" s="24"/>
      <c r="N32" s="33"/>
      <c r="O32" s="21">
        <v>31</v>
      </c>
    </row>
    <row r="33" spans="1:14" ht="31.5" hidden="1" customHeight="1" x14ac:dyDescent="0.25">
      <c r="A33" s="24" t="s">
        <v>53</v>
      </c>
      <c r="B33" s="24">
        <f>'[1]SUIVI RETRAITE '!B60</f>
        <v>0</v>
      </c>
      <c r="C33" s="24"/>
      <c r="D33" s="24">
        <f t="shared" ref="D33:D38" si="0">D32+C33</f>
        <v>0</v>
      </c>
      <c r="E33" s="27">
        <f t="shared" ref="E33:E38" si="1">E32+B33</f>
        <v>0</v>
      </c>
      <c r="F33" s="27">
        <f t="shared" ref="F33:F38" si="2">3.5*D33*$B$22</f>
        <v>0</v>
      </c>
      <c r="G33" s="28">
        <f t="shared" ref="G33:G38" si="3">B33</f>
        <v>0</v>
      </c>
      <c r="H33" s="28" t="str">
        <f t="shared" ref="H33:H38" si="4">IF(E33&lt;=F33,"Non","Oui")</f>
        <v>Non</v>
      </c>
      <c r="I33" s="28">
        <f t="shared" ref="I33:I38" si="5">IF(E33&lt;=F33,0,E33)</f>
        <v>0</v>
      </c>
      <c r="J33" s="28">
        <f t="shared" ref="J33:J38" si="6">I33-I32</f>
        <v>0</v>
      </c>
      <c r="K33" s="28"/>
      <c r="L33" s="26">
        <f t="shared" ref="L33:L38" si="7">J33*1.8%</f>
        <v>0</v>
      </c>
      <c r="M33" s="24">
        <f t="shared" ref="M33:M38" si="8">IF(E33&lt;=F33,IF(I33=0,(E33-I33)*1.8%,(E33-E32)*1.8%),0)</f>
        <v>0</v>
      </c>
      <c r="N33" s="24">
        <f t="shared" ref="N33:N38" si="9">M33-M32</f>
        <v>0</v>
      </c>
    </row>
    <row r="34" spans="1:14" ht="31.5" hidden="1" customHeight="1" x14ac:dyDescent="0.25">
      <c r="A34" s="24" t="s">
        <v>54</v>
      </c>
      <c r="B34" s="24">
        <f>'[1]SUIVI RETRAITE '!B61</f>
        <v>0</v>
      </c>
      <c r="C34" s="24"/>
      <c r="D34" s="24">
        <f t="shared" si="0"/>
        <v>0</v>
      </c>
      <c r="E34" s="27">
        <f t="shared" si="1"/>
        <v>0</v>
      </c>
      <c r="F34" s="27">
        <f t="shared" si="2"/>
        <v>0</v>
      </c>
      <c r="G34" s="28">
        <f t="shared" si="3"/>
        <v>0</v>
      </c>
      <c r="H34" s="28" t="str">
        <f t="shared" si="4"/>
        <v>Non</v>
      </c>
      <c r="I34" s="28">
        <f t="shared" si="5"/>
        <v>0</v>
      </c>
      <c r="J34" s="28">
        <f t="shared" si="6"/>
        <v>0</v>
      </c>
      <c r="K34" s="28"/>
      <c r="L34" s="26">
        <f t="shared" si="7"/>
        <v>0</v>
      </c>
      <c r="M34" s="24">
        <f t="shared" si="8"/>
        <v>0</v>
      </c>
      <c r="N34" s="24">
        <f t="shared" si="9"/>
        <v>0</v>
      </c>
    </row>
    <row r="35" spans="1:14" ht="31.5" hidden="1" customHeight="1" x14ac:dyDescent="0.25">
      <c r="A35" s="24" t="s">
        <v>55</v>
      </c>
      <c r="B35" s="24">
        <f>'[1]SUIVI RETRAITE '!B62</f>
        <v>0</v>
      </c>
      <c r="C35" s="24"/>
      <c r="D35" s="24">
        <f t="shared" si="0"/>
        <v>0</v>
      </c>
      <c r="E35" s="27">
        <f t="shared" si="1"/>
        <v>0</v>
      </c>
      <c r="F35" s="27">
        <f t="shared" si="2"/>
        <v>0</v>
      </c>
      <c r="G35" s="28">
        <f t="shared" si="3"/>
        <v>0</v>
      </c>
      <c r="H35" s="28" t="str">
        <f t="shared" si="4"/>
        <v>Non</v>
      </c>
      <c r="I35" s="28">
        <f t="shared" si="5"/>
        <v>0</v>
      </c>
      <c r="J35" s="28">
        <f t="shared" si="6"/>
        <v>0</v>
      </c>
      <c r="K35" s="28"/>
      <c r="L35" s="26">
        <f t="shared" si="7"/>
        <v>0</v>
      </c>
      <c r="M35" s="24">
        <f t="shared" si="8"/>
        <v>0</v>
      </c>
      <c r="N35" s="24">
        <f t="shared" si="9"/>
        <v>0</v>
      </c>
    </row>
    <row r="36" spans="1:14" ht="31.5" hidden="1" customHeight="1" x14ac:dyDescent="0.25">
      <c r="A36" s="24" t="s">
        <v>56</v>
      </c>
      <c r="B36" s="24">
        <f>'[1]SUIVI RETRAITE '!B63</f>
        <v>0</v>
      </c>
      <c r="C36" s="24"/>
      <c r="D36" s="24">
        <f t="shared" si="0"/>
        <v>0</v>
      </c>
      <c r="E36" s="27">
        <f t="shared" si="1"/>
        <v>0</v>
      </c>
      <c r="F36" s="27">
        <f t="shared" si="2"/>
        <v>0</v>
      </c>
      <c r="G36" s="28">
        <f t="shared" si="3"/>
        <v>0</v>
      </c>
      <c r="H36" s="28" t="str">
        <f t="shared" si="4"/>
        <v>Non</v>
      </c>
      <c r="I36" s="28">
        <f t="shared" si="5"/>
        <v>0</v>
      </c>
      <c r="J36" s="28">
        <f t="shared" si="6"/>
        <v>0</v>
      </c>
      <c r="K36" s="28"/>
      <c r="L36" s="26">
        <f t="shared" si="7"/>
        <v>0</v>
      </c>
      <c r="M36" s="24">
        <f t="shared" si="8"/>
        <v>0</v>
      </c>
      <c r="N36" s="24">
        <f t="shared" si="9"/>
        <v>0</v>
      </c>
    </row>
    <row r="37" spans="1:14" ht="31.5" hidden="1" customHeight="1" x14ac:dyDescent="0.25">
      <c r="A37" s="24" t="s">
        <v>57</v>
      </c>
      <c r="B37" s="24">
        <f>'[1]SUIVI RETRAITE '!B64</f>
        <v>0</v>
      </c>
      <c r="C37" s="24"/>
      <c r="D37" s="24">
        <f t="shared" si="0"/>
        <v>0</v>
      </c>
      <c r="E37" s="27">
        <f t="shared" si="1"/>
        <v>0</v>
      </c>
      <c r="F37" s="27">
        <f t="shared" si="2"/>
        <v>0</v>
      </c>
      <c r="G37" s="28">
        <f t="shared" si="3"/>
        <v>0</v>
      </c>
      <c r="H37" s="28" t="str">
        <f t="shared" si="4"/>
        <v>Non</v>
      </c>
      <c r="I37" s="28">
        <f t="shared" si="5"/>
        <v>0</v>
      </c>
      <c r="J37" s="28">
        <f t="shared" si="6"/>
        <v>0</v>
      </c>
      <c r="K37" s="28"/>
      <c r="L37" s="26">
        <f t="shared" si="7"/>
        <v>0</v>
      </c>
      <c r="M37" s="24">
        <f t="shared" si="8"/>
        <v>0</v>
      </c>
      <c r="N37" s="24">
        <f t="shared" si="9"/>
        <v>0</v>
      </c>
    </row>
    <row r="38" spans="1:14" ht="31.5" hidden="1" customHeight="1" x14ac:dyDescent="0.25">
      <c r="A38" s="24" t="s">
        <v>58</v>
      </c>
      <c r="B38" s="37">
        <f>'[1]SUIVI RETRAITE '!B65</f>
        <v>0</v>
      </c>
      <c r="C38" s="37"/>
      <c r="D38" s="24">
        <f t="shared" si="0"/>
        <v>0</v>
      </c>
      <c r="E38" s="27">
        <f t="shared" si="1"/>
        <v>0</v>
      </c>
      <c r="F38" s="27">
        <f t="shared" si="2"/>
        <v>0</v>
      </c>
      <c r="G38" s="28">
        <f t="shared" si="3"/>
        <v>0</v>
      </c>
      <c r="H38" s="28" t="str">
        <f t="shared" si="4"/>
        <v>Non</v>
      </c>
      <c r="I38" s="28">
        <f t="shared" si="5"/>
        <v>0</v>
      </c>
      <c r="J38" s="28">
        <f t="shared" si="6"/>
        <v>0</v>
      </c>
      <c r="K38" s="28"/>
      <c r="L38" s="26">
        <f t="shared" si="7"/>
        <v>0</v>
      </c>
      <c r="M38" s="24">
        <f t="shared" si="8"/>
        <v>0</v>
      </c>
      <c r="N38" s="24">
        <f t="shared" si="9"/>
        <v>0</v>
      </c>
    </row>
    <row r="39" spans="1:14" ht="30" customHeight="1" x14ac:dyDescent="0.25">
      <c r="B39" s="38"/>
      <c r="C39" s="29"/>
      <c r="D39" s="29"/>
    </row>
    <row r="40" spans="1:14" ht="30" customHeight="1" x14ac:dyDescent="0.25">
      <c r="J40" s="30"/>
      <c r="K40" s="30"/>
    </row>
    <row r="49" spans="2:4" x14ac:dyDescent="0.25">
      <c r="B49" s="30"/>
      <c r="C49" s="30"/>
      <c r="D49" s="30"/>
    </row>
    <row r="50" spans="2:4" x14ac:dyDescent="0.25">
      <c r="B50" s="30"/>
      <c r="C50" s="30"/>
      <c r="D50" s="30"/>
    </row>
    <row r="51" spans="2:4" x14ac:dyDescent="0.25">
      <c r="B51" s="30"/>
      <c r="C51" s="30"/>
      <c r="D51" s="30"/>
    </row>
    <row r="52" spans="2:4" x14ac:dyDescent="0.25">
      <c r="B52" s="30"/>
      <c r="C52" s="30"/>
      <c r="D52" s="30"/>
    </row>
  </sheetData>
  <mergeCells count="9">
    <mergeCell ref="H25:N25"/>
    <mergeCell ref="A1:M1"/>
    <mergeCell ref="A5:B5"/>
    <mergeCell ref="A6:B6"/>
    <mergeCell ref="I6:J6"/>
    <mergeCell ref="M6:N6"/>
    <mergeCell ref="C24:N24"/>
    <mergeCell ref="C22:D22"/>
    <mergeCell ref="C23:D23"/>
  </mergeCells>
  <phoneticPr fontId="15" type="noConversion"/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20AB2D-75CB-4C7E-BE92-907B77C55855}">
  <dimension ref="A1"/>
  <sheetViews>
    <sheetView topLeftCell="A4" workbookViewId="0">
      <selection activeCell="B3" sqref="B3"/>
    </sheetView>
  </sheetViews>
  <sheetFormatPr baseColWidth="10" defaultRowHeight="14.4" x14ac:dyDescent="0.3"/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880439-25ED-4DE1-93C5-60458EB72AAF}">
  <dimension ref="A1:Q52"/>
  <sheetViews>
    <sheetView topLeftCell="A28" workbookViewId="0">
      <selection activeCell="M28" sqref="M28"/>
    </sheetView>
  </sheetViews>
  <sheetFormatPr baseColWidth="10" defaultColWidth="11.44140625" defaultRowHeight="13.8" x14ac:dyDescent="0.25"/>
  <cols>
    <col min="1" max="1" width="9.109375" style="1" bestFit="1" customWidth="1"/>
    <col min="2" max="2" width="12.44140625" style="1" customWidth="1"/>
    <col min="3" max="3" width="12.88671875" style="1" customWidth="1"/>
    <col min="4" max="7" width="13.88671875" style="1" customWidth="1"/>
    <col min="8" max="8" width="9.44140625" style="1" customWidth="1"/>
    <col min="9" max="9" width="14.21875" style="1" customWidth="1"/>
    <col min="10" max="11" width="14.44140625" style="1" customWidth="1"/>
    <col min="12" max="12" width="11.44140625" style="1"/>
    <col min="13" max="13" width="13" style="1" customWidth="1"/>
    <col min="14" max="14" width="11.44140625" style="1"/>
    <col min="15" max="15" width="5.44140625" style="1" customWidth="1"/>
    <col min="16" max="16384" width="11.44140625" style="1"/>
  </cols>
  <sheetData>
    <row r="1" spans="1:17" ht="21" x14ac:dyDescent="0.4">
      <c r="A1" s="79" t="s">
        <v>76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  <c r="O1" s="29"/>
    </row>
    <row r="2" spans="1:17" hidden="1" x14ac:dyDescent="0.25">
      <c r="O2" s="29"/>
    </row>
    <row r="3" spans="1:17" x14ac:dyDescent="0.25">
      <c r="B3" s="1" t="s">
        <v>1</v>
      </c>
      <c r="O3" s="29"/>
    </row>
    <row r="4" spans="1:17" x14ac:dyDescent="0.25">
      <c r="O4" s="29"/>
    </row>
    <row r="5" spans="1:17" customFormat="1" ht="26.4" customHeight="1" x14ac:dyDescent="0.3">
      <c r="A5" s="68" t="s">
        <v>3</v>
      </c>
      <c r="B5" s="69"/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3"/>
      <c r="O5" s="35"/>
    </row>
    <row r="6" spans="1:17" s="8" customFormat="1" ht="14.4" x14ac:dyDescent="0.3">
      <c r="A6" s="70" t="s">
        <v>9</v>
      </c>
      <c r="B6" s="71"/>
      <c r="C6" s="4">
        <v>2000</v>
      </c>
      <c r="D6" s="4"/>
      <c r="E6" s="5">
        <v>3.4500000000000003E-2</v>
      </c>
      <c r="F6" s="4"/>
      <c r="G6" s="4">
        <f>ROUND(C6*E6,2)</f>
        <v>69</v>
      </c>
      <c r="H6" s="6"/>
      <c r="I6" s="72"/>
      <c r="J6" s="72"/>
      <c r="M6" s="73"/>
      <c r="N6" s="73"/>
      <c r="O6" s="36"/>
      <c r="P6" s="10"/>
      <c r="Q6" s="11"/>
    </row>
    <row r="7" spans="1:17" s="8" customFormat="1" ht="13.8" customHeight="1" x14ac:dyDescent="0.3">
      <c r="A7" s="12"/>
      <c r="B7" s="13"/>
      <c r="C7" s="4"/>
      <c r="D7" s="4"/>
      <c r="E7" s="14">
        <v>1.7999999999999999E-2</v>
      </c>
      <c r="F7" s="4"/>
      <c r="G7" s="4">
        <f>ROUND(C7*E7,2)</f>
        <v>0</v>
      </c>
      <c r="H7" s="6"/>
      <c r="I7" s="15"/>
      <c r="J7" s="7"/>
      <c r="M7" s="9"/>
      <c r="N7" s="9"/>
      <c r="O7" s="36"/>
      <c r="P7" s="10"/>
      <c r="Q7" s="11"/>
    </row>
    <row r="8" spans="1:17" s="8" customFormat="1" ht="14.4" hidden="1" x14ac:dyDescent="0.3">
      <c r="A8" s="16"/>
      <c r="B8" s="16"/>
      <c r="C8" s="17"/>
      <c r="D8" s="17"/>
      <c r="E8" s="17"/>
      <c r="F8" s="17"/>
      <c r="G8" s="17"/>
      <c r="H8" s="6"/>
      <c r="I8" s="15"/>
      <c r="J8" s="7"/>
      <c r="M8" s="9"/>
      <c r="N8" s="9"/>
      <c r="O8" s="36"/>
      <c r="P8" s="10"/>
      <c r="Q8" s="11"/>
    </row>
    <row r="9" spans="1:17" x14ac:dyDescent="0.25">
      <c r="B9" s="1" t="s">
        <v>10</v>
      </c>
      <c r="O9" s="29"/>
    </row>
    <row r="10" spans="1:17" x14ac:dyDescent="0.25">
      <c r="B10" s="1" t="s">
        <v>71</v>
      </c>
      <c r="O10" s="29"/>
    </row>
    <row r="11" spans="1:17" x14ac:dyDescent="0.25">
      <c r="B11" s="1" t="s">
        <v>73</v>
      </c>
      <c r="O11" s="29"/>
    </row>
    <row r="12" spans="1:17" x14ac:dyDescent="0.25">
      <c r="B12" s="1" t="s">
        <v>70</v>
      </c>
      <c r="O12" s="29"/>
    </row>
    <row r="13" spans="1:17" x14ac:dyDescent="0.25">
      <c r="B13" s="1" t="s">
        <v>11</v>
      </c>
      <c r="O13" s="29"/>
    </row>
    <row r="14" spans="1:17" x14ac:dyDescent="0.25">
      <c r="C14" s="1" t="s">
        <v>12</v>
      </c>
      <c r="O14" s="29"/>
    </row>
    <row r="15" spans="1:17" x14ac:dyDescent="0.25">
      <c r="C15" s="1" t="s">
        <v>13</v>
      </c>
      <c r="O15" s="29"/>
    </row>
    <row r="16" spans="1:17" x14ac:dyDescent="0.25">
      <c r="D16" s="1" t="s">
        <v>14</v>
      </c>
      <c r="O16" s="29"/>
    </row>
    <row r="17" spans="1:15" x14ac:dyDescent="0.25">
      <c r="E17" s="1" t="s">
        <v>15</v>
      </c>
      <c r="O17" s="29"/>
    </row>
    <row r="18" spans="1:15" x14ac:dyDescent="0.25">
      <c r="D18" s="1" t="s">
        <v>16</v>
      </c>
      <c r="O18" s="29"/>
    </row>
    <row r="19" spans="1:15" x14ac:dyDescent="0.25">
      <c r="B19" s="64" t="s">
        <v>74</v>
      </c>
      <c r="O19" s="29"/>
    </row>
    <row r="20" spans="1:15" x14ac:dyDescent="0.25">
      <c r="B20" s="1" t="s">
        <v>79</v>
      </c>
      <c r="O20" s="29"/>
    </row>
    <row r="21" spans="1:15" x14ac:dyDescent="0.25">
      <c r="A21" s="19" t="s">
        <v>17</v>
      </c>
      <c r="B21" s="19" t="s">
        <v>18</v>
      </c>
      <c r="C21" s="19" t="s">
        <v>59</v>
      </c>
      <c r="D21" s="19" t="s">
        <v>20</v>
      </c>
      <c r="E21" s="19" t="s">
        <v>21</v>
      </c>
      <c r="F21" s="19" t="s">
        <v>22</v>
      </c>
      <c r="G21" s="19" t="s">
        <v>23</v>
      </c>
      <c r="H21" s="19" t="s">
        <v>24</v>
      </c>
      <c r="I21" s="19" t="s">
        <v>25</v>
      </c>
      <c r="J21" s="19" t="s">
        <v>26</v>
      </c>
      <c r="K21" s="19" t="s">
        <v>27</v>
      </c>
      <c r="L21" s="19" t="s">
        <v>28</v>
      </c>
      <c r="M21" s="19" t="s">
        <v>29</v>
      </c>
      <c r="N21" s="19" t="s">
        <v>30</v>
      </c>
    </row>
    <row r="22" spans="1:15" x14ac:dyDescent="0.25">
      <c r="A22" s="18" t="s">
        <v>2</v>
      </c>
      <c r="B22" s="41">
        <v>11.88</v>
      </c>
      <c r="C22" s="75" t="s">
        <v>77</v>
      </c>
      <c r="D22" s="76"/>
      <c r="O22" s="39">
        <v>21</v>
      </c>
    </row>
    <row r="23" spans="1:15" x14ac:dyDescent="0.25">
      <c r="A23" s="18" t="s">
        <v>31</v>
      </c>
      <c r="B23" s="42">
        <v>11.52</v>
      </c>
      <c r="C23" s="80" t="s">
        <v>84</v>
      </c>
      <c r="D23" s="78"/>
      <c r="O23" s="39">
        <v>22</v>
      </c>
    </row>
    <row r="24" spans="1:15" ht="28.5" customHeight="1" x14ac:dyDescent="0.25">
      <c r="C24" s="74" t="s">
        <v>32</v>
      </c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86"/>
      <c r="O24" s="39">
        <v>23</v>
      </c>
    </row>
    <row r="25" spans="1:15" ht="30.75" customHeight="1" x14ac:dyDescent="0.25">
      <c r="H25" s="83" t="s">
        <v>33</v>
      </c>
      <c r="I25" s="84"/>
      <c r="J25" s="84"/>
      <c r="K25" s="84"/>
      <c r="L25" s="84"/>
      <c r="M25" s="84"/>
      <c r="N25" s="85"/>
      <c r="O25" s="39">
        <v>24</v>
      </c>
    </row>
    <row r="26" spans="1:15" ht="41.4" x14ac:dyDescent="0.25">
      <c r="B26" s="21" t="s">
        <v>34</v>
      </c>
      <c r="C26" s="21" t="s">
        <v>35</v>
      </c>
      <c r="D26" s="21" t="s">
        <v>36</v>
      </c>
      <c r="E26" s="22" t="s">
        <v>37</v>
      </c>
      <c r="F26" s="22" t="s">
        <v>38</v>
      </c>
      <c r="G26" s="21" t="s">
        <v>39</v>
      </c>
      <c r="H26" s="23" t="s">
        <v>40</v>
      </c>
      <c r="I26" s="23" t="s">
        <v>41</v>
      </c>
      <c r="J26" s="21" t="s">
        <v>42</v>
      </c>
      <c r="K26" s="21" t="s">
        <v>43</v>
      </c>
      <c r="L26" s="21" t="s">
        <v>44</v>
      </c>
      <c r="M26" s="21" t="s">
        <v>45</v>
      </c>
      <c r="N26" s="32" t="s">
        <v>46</v>
      </c>
      <c r="O26" s="39">
        <v>25</v>
      </c>
    </row>
    <row r="27" spans="1:15" ht="29.25" customHeight="1" x14ac:dyDescent="0.25">
      <c r="A27" s="24" t="s">
        <v>47</v>
      </c>
      <c r="B27" s="31">
        <v>7000</v>
      </c>
      <c r="C27" s="31">
        <v>159.66999999999999</v>
      </c>
      <c r="D27" s="24">
        <f>C27</f>
        <v>159.66999999999999</v>
      </c>
      <c r="E27" s="25">
        <f>B27</f>
        <v>7000</v>
      </c>
      <c r="F27" s="25">
        <f>3.3*D27*$B$22</f>
        <v>6259.7026799999994</v>
      </c>
      <c r="G27" s="24">
        <f>B27</f>
        <v>7000</v>
      </c>
      <c r="H27" s="24" t="str">
        <f>IF(E27&lt;=F27,"Non","Oui")</f>
        <v>Oui</v>
      </c>
      <c r="I27" s="25">
        <f>IF(E27&lt;=F27,0,E27)</f>
        <v>7000</v>
      </c>
      <c r="J27" s="25">
        <f>I27</f>
        <v>7000</v>
      </c>
      <c r="K27" s="25">
        <f>I27*1.8%</f>
        <v>126.00000000000001</v>
      </c>
      <c r="L27" s="40">
        <f>J27*1.8%</f>
        <v>126.00000000000001</v>
      </c>
      <c r="M27" s="24">
        <f>IF(E27&lt;=F27,E27*1.8%,0)</f>
        <v>0</v>
      </c>
      <c r="N27" s="33">
        <f>M27</f>
        <v>0</v>
      </c>
      <c r="O27" s="39">
        <v>26</v>
      </c>
    </row>
    <row r="28" spans="1:15" ht="29.25" customHeight="1" x14ac:dyDescent="0.25">
      <c r="A28" s="24" t="s">
        <v>48</v>
      </c>
      <c r="B28" s="31">
        <v>5000</v>
      </c>
      <c r="C28" s="31">
        <f>'[1]SUIVI RED GENERALE DE COT. '!D67</f>
        <v>151.66999999999999</v>
      </c>
      <c r="D28" s="24">
        <f>D27+C28</f>
        <v>311.33999999999997</v>
      </c>
      <c r="E28" s="25">
        <f>E27+B28</f>
        <v>12000</v>
      </c>
      <c r="F28" s="25">
        <f t="shared" ref="F28:F38" si="0">3.3*D28*$B$22</f>
        <v>12205.773359999999</v>
      </c>
      <c r="G28" s="24">
        <f t="shared" ref="G28:G38" si="1">B28</f>
        <v>5000</v>
      </c>
      <c r="H28" s="24" t="str">
        <f t="shared" ref="H28:H38" si="2">IF(E28&lt;=F28,"Non","Oui")</f>
        <v>Non</v>
      </c>
      <c r="I28" s="25">
        <f>IF(E28&lt;=F28,0,E28)</f>
        <v>0</v>
      </c>
      <c r="J28" s="25">
        <f>I28-I27</f>
        <v>-7000</v>
      </c>
      <c r="K28" s="25">
        <f t="shared" ref="K28:L38" si="3">I28*1.8%</f>
        <v>0</v>
      </c>
      <c r="L28" s="40">
        <f>J28*1.8%</f>
        <v>-126.00000000000001</v>
      </c>
      <c r="M28" s="24">
        <f>IF(I28=0,E28*1.8%,0)</f>
        <v>216.00000000000003</v>
      </c>
      <c r="N28" s="33">
        <f>M28-M27</f>
        <v>216.00000000000003</v>
      </c>
      <c r="O28" s="39">
        <v>27</v>
      </c>
    </row>
    <row r="29" spans="1:15" ht="29.25" customHeight="1" x14ac:dyDescent="0.25">
      <c r="A29" s="24" t="s">
        <v>49</v>
      </c>
      <c r="B29" s="31">
        <v>6000</v>
      </c>
      <c r="C29" s="31">
        <f>'[1]SUIVI RED GENERALE DE COT. '!D68</f>
        <v>151.66999999999999</v>
      </c>
      <c r="D29" s="24">
        <f t="shared" ref="D29:D38" si="4">D28+C29</f>
        <v>463.01</v>
      </c>
      <c r="E29" s="25">
        <f t="shared" ref="E29:E38" si="5">E28+B29</f>
        <v>18000</v>
      </c>
      <c r="F29" s="25">
        <f t="shared" si="0"/>
        <v>18151.84404</v>
      </c>
      <c r="G29" s="24">
        <f t="shared" si="1"/>
        <v>6000</v>
      </c>
      <c r="H29" s="24" t="str">
        <f t="shared" si="2"/>
        <v>Non</v>
      </c>
      <c r="I29" s="25">
        <f t="shared" ref="I29:I38" si="6">IF(E29&lt;=F29,0,E29)</f>
        <v>0</v>
      </c>
      <c r="J29" s="25">
        <f t="shared" ref="J29:J38" si="7">I29-I28</f>
        <v>0</v>
      </c>
      <c r="K29" s="25">
        <f t="shared" si="3"/>
        <v>0</v>
      </c>
      <c r="L29" s="40">
        <f t="shared" si="3"/>
        <v>0</v>
      </c>
      <c r="M29" s="24">
        <f t="shared" ref="M29:M37" si="8">IF(I29=0,E29*1.8%,0)</f>
        <v>324.00000000000006</v>
      </c>
      <c r="N29" s="33">
        <f>M29-M28</f>
        <v>108.00000000000003</v>
      </c>
      <c r="O29" s="39">
        <v>28</v>
      </c>
    </row>
    <row r="30" spans="1:15" ht="29.25" customHeight="1" x14ac:dyDescent="0.25">
      <c r="A30" s="24" t="s">
        <v>50</v>
      </c>
      <c r="B30" s="31">
        <v>7000</v>
      </c>
      <c r="C30" s="31">
        <f>'[1]SUIVI RED GENERALE DE COT. '!D69</f>
        <v>151.66999999999999</v>
      </c>
      <c r="D30" s="24">
        <f t="shared" si="4"/>
        <v>614.67999999999995</v>
      </c>
      <c r="E30" s="25">
        <f t="shared" si="5"/>
        <v>25000</v>
      </c>
      <c r="F30" s="25">
        <f t="shared" si="0"/>
        <v>24097.914719999997</v>
      </c>
      <c r="G30" s="24">
        <f t="shared" si="1"/>
        <v>7000</v>
      </c>
      <c r="H30" s="24" t="str">
        <f t="shared" si="2"/>
        <v>Oui</v>
      </c>
      <c r="I30" s="25">
        <f t="shared" si="6"/>
        <v>25000</v>
      </c>
      <c r="J30" s="25">
        <f t="shared" si="7"/>
        <v>25000</v>
      </c>
      <c r="K30" s="25">
        <f t="shared" si="3"/>
        <v>450.00000000000006</v>
      </c>
      <c r="L30" s="40">
        <f t="shared" si="3"/>
        <v>450.00000000000006</v>
      </c>
      <c r="M30" s="24">
        <f t="shared" si="8"/>
        <v>0</v>
      </c>
      <c r="N30" s="33">
        <f t="shared" ref="N30:N38" si="9">M30-M29</f>
        <v>-324.00000000000006</v>
      </c>
      <c r="O30" s="39">
        <v>29</v>
      </c>
    </row>
    <row r="31" spans="1:15" ht="24.6" customHeight="1" x14ac:dyDescent="0.25">
      <c r="A31" s="24" t="s">
        <v>51</v>
      </c>
      <c r="B31" s="31">
        <v>3000</v>
      </c>
      <c r="C31" s="31">
        <f>'[1]SUIVI RED GENERALE DE COT. '!D70</f>
        <v>151.66999999999999</v>
      </c>
      <c r="D31" s="24">
        <f t="shared" si="4"/>
        <v>766.34999999999991</v>
      </c>
      <c r="E31" s="25">
        <f t="shared" si="5"/>
        <v>28000</v>
      </c>
      <c r="F31" s="25">
        <f t="shared" si="0"/>
        <v>30043.985399999994</v>
      </c>
      <c r="G31" s="24">
        <f t="shared" si="1"/>
        <v>3000</v>
      </c>
      <c r="H31" s="24" t="str">
        <f t="shared" si="2"/>
        <v>Non</v>
      </c>
      <c r="I31" s="25">
        <f t="shared" si="6"/>
        <v>0</v>
      </c>
      <c r="J31" s="25">
        <f t="shared" si="7"/>
        <v>-25000</v>
      </c>
      <c r="K31" s="25">
        <f t="shared" si="3"/>
        <v>0</v>
      </c>
      <c r="L31" s="40">
        <f t="shared" si="3"/>
        <v>-450.00000000000006</v>
      </c>
      <c r="M31" s="24">
        <f t="shared" si="8"/>
        <v>504.00000000000006</v>
      </c>
      <c r="N31" s="33">
        <f t="shared" si="9"/>
        <v>504.00000000000006</v>
      </c>
      <c r="O31" s="39">
        <v>30</v>
      </c>
    </row>
    <row r="32" spans="1:15" ht="21.6" customHeight="1" x14ac:dyDescent="0.25">
      <c r="A32" s="24" t="s">
        <v>52</v>
      </c>
      <c r="B32" s="31">
        <v>7000</v>
      </c>
      <c r="C32" s="31">
        <f>'[1]SUIVI RED GENERALE DE COT. '!$D$71</f>
        <v>151.66999999999999</v>
      </c>
      <c r="D32" s="24">
        <f t="shared" si="4"/>
        <v>918.01999999999987</v>
      </c>
      <c r="E32" s="25">
        <f t="shared" si="5"/>
        <v>35000</v>
      </c>
      <c r="F32" s="25">
        <f t="shared" si="0"/>
        <v>35990.056079999995</v>
      </c>
      <c r="G32" s="24">
        <f t="shared" si="1"/>
        <v>7000</v>
      </c>
      <c r="H32" s="24" t="str">
        <f t="shared" si="2"/>
        <v>Non</v>
      </c>
      <c r="I32" s="40">
        <f t="shared" si="6"/>
        <v>0</v>
      </c>
      <c r="J32" s="25">
        <f t="shared" si="7"/>
        <v>0</v>
      </c>
      <c r="K32" s="25">
        <f t="shared" si="3"/>
        <v>0</v>
      </c>
      <c r="L32" s="40">
        <f t="shared" si="3"/>
        <v>0</v>
      </c>
      <c r="M32" s="24">
        <f t="shared" si="8"/>
        <v>630.00000000000011</v>
      </c>
      <c r="N32" s="33">
        <f t="shared" si="9"/>
        <v>126.00000000000006</v>
      </c>
      <c r="O32" s="39">
        <v>31</v>
      </c>
    </row>
    <row r="33" spans="1:14" ht="29.25" customHeight="1" x14ac:dyDescent="0.25">
      <c r="A33" s="24" t="s">
        <v>53</v>
      </c>
      <c r="B33" s="31">
        <v>7000</v>
      </c>
      <c r="C33" s="31">
        <f>'[1]SUIVI RED GENERALE DE COT. '!$D$71</f>
        <v>151.66999999999999</v>
      </c>
      <c r="D33" s="24">
        <f t="shared" si="4"/>
        <v>1069.6899999999998</v>
      </c>
      <c r="E33" s="25">
        <f t="shared" si="5"/>
        <v>42000</v>
      </c>
      <c r="F33" s="25">
        <f t="shared" si="0"/>
        <v>41936.126759999999</v>
      </c>
      <c r="G33" s="25">
        <f t="shared" si="1"/>
        <v>7000</v>
      </c>
      <c r="H33" s="25" t="str">
        <f t="shared" si="2"/>
        <v>Oui</v>
      </c>
      <c r="I33" s="25">
        <f t="shared" si="6"/>
        <v>42000</v>
      </c>
      <c r="J33" s="25">
        <f t="shared" si="7"/>
        <v>42000</v>
      </c>
      <c r="K33" s="25">
        <f t="shared" si="3"/>
        <v>756.00000000000011</v>
      </c>
      <c r="L33" s="25">
        <f t="shared" si="3"/>
        <v>756.00000000000011</v>
      </c>
      <c r="M33" s="24">
        <f t="shared" si="8"/>
        <v>0</v>
      </c>
      <c r="N33" s="25">
        <f t="shared" si="9"/>
        <v>-630.00000000000011</v>
      </c>
    </row>
    <row r="34" spans="1:14" ht="22.2" customHeight="1" x14ac:dyDescent="0.25">
      <c r="A34" s="24" t="s">
        <v>54</v>
      </c>
      <c r="B34" s="31">
        <v>7000</v>
      </c>
      <c r="C34" s="31">
        <f>'[1]SUIVI RED GENERALE DE COT. '!$D$71</f>
        <v>151.66999999999999</v>
      </c>
      <c r="D34" s="24">
        <f t="shared" si="4"/>
        <v>1221.3599999999999</v>
      </c>
      <c r="E34" s="25">
        <f t="shared" si="5"/>
        <v>49000</v>
      </c>
      <c r="F34" s="25">
        <f t="shared" si="0"/>
        <v>47882.197439999996</v>
      </c>
      <c r="G34" s="25">
        <f t="shared" si="1"/>
        <v>7000</v>
      </c>
      <c r="H34" s="25" t="str">
        <f t="shared" si="2"/>
        <v>Oui</v>
      </c>
      <c r="I34" s="25">
        <f t="shared" si="6"/>
        <v>49000</v>
      </c>
      <c r="J34" s="25">
        <f t="shared" si="7"/>
        <v>7000</v>
      </c>
      <c r="K34" s="25">
        <f t="shared" si="3"/>
        <v>882.00000000000011</v>
      </c>
      <c r="L34" s="25">
        <f t="shared" si="3"/>
        <v>126.00000000000001</v>
      </c>
      <c r="M34" s="24">
        <f>IF(I34=0,E34*1.8%,0)</f>
        <v>0</v>
      </c>
      <c r="N34" s="25">
        <f t="shared" si="9"/>
        <v>0</v>
      </c>
    </row>
    <row r="35" spans="1:14" ht="29.25" customHeight="1" x14ac:dyDescent="0.25">
      <c r="A35" s="51" t="s">
        <v>55</v>
      </c>
      <c r="B35" s="31">
        <v>7000</v>
      </c>
      <c r="C35" s="31">
        <f>'[1]SUIVI RED GENERALE DE COT. '!$D$71</f>
        <v>151.66999999999999</v>
      </c>
      <c r="D35" s="24">
        <f t="shared" si="4"/>
        <v>1373.03</v>
      </c>
      <c r="E35" s="25">
        <f t="shared" si="5"/>
        <v>56000</v>
      </c>
      <c r="F35" s="25">
        <f t="shared" si="0"/>
        <v>53828.268120000001</v>
      </c>
      <c r="G35" s="25">
        <f t="shared" si="1"/>
        <v>7000</v>
      </c>
      <c r="H35" s="25" t="str">
        <f t="shared" si="2"/>
        <v>Oui</v>
      </c>
      <c r="I35" s="25">
        <f t="shared" si="6"/>
        <v>56000</v>
      </c>
      <c r="J35" s="25">
        <f t="shared" si="7"/>
        <v>7000</v>
      </c>
      <c r="K35" s="25">
        <f t="shared" si="3"/>
        <v>1008.0000000000001</v>
      </c>
      <c r="L35" s="25">
        <f t="shared" si="3"/>
        <v>126.00000000000001</v>
      </c>
      <c r="M35" s="24">
        <f t="shared" si="8"/>
        <v>0</v>
      </c>
      <c r="N35" s="25">
        <f t="shared" si="9"/>
        <v>0</v>
      </c>
    </row>
    <row r="36" spans="1:14" ht="29.25" customHeight="1" x14ac:dyDescent="0.25">
      <c r="A36" s="51" t="s">
        <v>56</v>
      </c>
      <c r="B36" s="31">
        <v>7000</v>
      </c>
      <c r="C36" s="31">
        <f>'[1]SUIVI RED GENERALE DE COT. '!$D$71</f>
        <v>151.66999999999999</v>
      </c>
      <c r="D36" s="24">
        <f t="shared" si="4"/>
        <v>1524.7</v>
      </c>
      <c r="E36" s="25">
        <f t="shared" si="5"/>
        <v>63000</v>
      </c>
      <c r="F36" s="25">
        <f t="shared" si="0"/>
        <v>59774.338800000005</v>
      </c>
      <c r="G36" s="25">
        <f t="shared" si="1"/>
        <v>7000</v>
      </c>
      <c r="H36" s="25" t="str">
        <f t="shared" si="2"/>
        <v>Oui</v>
      </c>
      <c r="I36" s="25">
        <f t="shared" si="6"/>
        <v>63000</v>
      </c>
      <c r="J36" s="25">
        <f t="shared" si="7"/>
        <v>7000</v>
      </c>
      <c r="K36" s="25">
        <f t="shared" si="3"/>
        <v>1134.0000000000002</v>
      </c>
      <c r="L36" s="25">
        <f t="shared" si="3"/>
        <v>126.00000000000001</v>
      </c>
      <c r="M36" s="24">
        <f t="shared" si="8"/>
        <v>0</v>
      </c>
      <c r="N36" s="25">
        <f t="shared" si="9"/>
        <v>0</v>
      </c>
    </row>
    <row r="37" spans="1:14" ht="29.25" customHeight="1" x14ac:dyDescent="0.25">
      <c r="A37" s="51" t="s">
        <v>57</v>
      </c>
      <c r="B37" s="31">
        <v>7000</v>
      </c>
      <c r="C37" s="31">
        <f>'[1]SUIVI RED GENERALE DE COT. '!$D$71</f>
        <v>151.66999999999999</v>
      </c>
      <c r="D37" s="24">
        <f t="shared" si="4"/>
        <v>1676.3700000000001</v>
      </c>
      <c r="E37" s="25">
        <f t="shared" si="5"/>
        <v>70000</v>
      </c>
      <c r="F37" s="25">
        <f t="shared" si="0"/>
        <v>65720.409480000002</v>
      </c>
      <c r="G37" s="25">
        <f t="shared" si="1"/>
        <v>7000</v>
      </c>
      <c r="H37" s="25" t="str">
        <f t="shared" si="2"/>
        <v>Oui</v>
      </c>
      <c r="I37" s="25">
        <f t="shared" si="6"/>
        <v>70000</v>
      </c>
      <c r="J37" s="25">
        <f t="shared" si="7"/>
        <v>7000</v>
      </c>
      <c r="K37" s="25">
        <f t="shared" si="3"/>
        <v>1260.0000000000002</v>
      </c>
      <c r="L37" s="25">
        <f t="shared" si="3"/>
        <v>126.00000000000001</v>
      </c>
      <c r="M37" s="24">
        <f t="shared" si="8"/>
        <v>0</v>
      </c>
      <c r="N37" s="25">
        <f t="shared" si="9"/>
        <v>0</v>
      </c>
    </row>
    <row r="38" spans="1:14" ht="29.25" customHeight="1" x14ac:dyDescent="0.25">
      <c r="A38" s="51" t="s">
        <v>58</v>
      </c>
      <c r="B38" s="31">
        <v>2000</v>
      </c>
      <c r="C38" s="31">
        <f>'[1]SUIVI RED GENERALE DE COT. '!$D$71</f>
        <v>151.66999999999999</v>
      </c>
      <c r="D38" s="24">
        <f t="shared" si="4"/>
        <v>1828.0400000000002</v>
      </c>
      <c r="E38" s="25">
        <f t="shared" si="5"/>
        <v>72000</v>
      </c>
      <c r="F38" s="25">
        <f t="shared" si="0"/>
        <v>71666.480160000006</v>
      </c>
      <c r="G38" s="25">
        <f t="shared" si="1"/>
        <v>2000</v>
      </c>
      <c r="H38" s="25" t="str">
        <f t="shared" si="2"/>
        <v>Oui</v>
      </c>
      <c r="I38" s="25">
        <f t="shared" si="6"/>
        <v>72000</v>
      </c>
      <c r="J38" s="25">
        <f t="shared" si="7"/>
        <v>2000</v>
      </c>
      <c r="K38" s="25">
        <f t="shared" si="3"/>
        <v>1296.0000000000002</v>
      </c>
      <c r="L38" s="25">
        <f t="shared" si="3"/>
        <v>36.000000000000007</v>
      </c>
      <c r="M38" s="24">
        <f>IF(I38=0,E38*1.8%-M37,0)</f>
        <v>0</v>
      </c>
      <c r="N38" s="25">
        <f t="shared" si="9"/>
        <v>0</v>
      </c>
    </row>
    <row r="39" spans="1:14" ht="45" customHeight="1" x14ac:dyDescent="0.25">
      <c r="B39" s="38"/>
      <c r="C39" s="29"/>
      <c r="D39" s="29"/>
    </row>
    <row r="40" spans="1:14" customFormat="1" ht="15.6" x14ac:dyDescent="0.3">
      <c r="B40" s="52" t="s">
        <v>61</v>
      </c>
      <c r="C40" s="53" t="s">
        <v>62</v>
      </c>
      <c r="D40" s="53"/>
      <c r="E40" s="53"/>
      <c r="F40" s="53"/>
      <c r="G40" s="53"/>
      <c r="H40" s="53"/>
      <c r="I40" s="53"/>
      <c r="J40" s="54"/>
    </row>
    <row r="41" spans="1:14" customFormat="1" ht="15.6" x14ac:dyDescent="0.3">
      <c r="B41" s="55"/>
      <c r="C41" s="56"/>
      <c r="D41" s="56"/>
      <c r="E41" s="56"/>
      <c r="F41" s="56"/>
      <c r="G41" s="56"/>
      <c r="H41" s="56"/>
      <c r="I41" s="56"/>
      <c r="J41" s="57"/>
    </row>
    <row r="42" spans="1:14" customFormat="1" ht="16.2" x14ac:dyDescent="0.35">
      <c r="B42" s="55"/>
      <c r="C42" s="56" t="s">
        <v>63</v>
      </c>
      <c r="D42" s="56"/>
      <c r="E42" s="58" t="s">
        <v>64</v>
      </c>
      <c r="F42" s="56"/>
      <c r="G42" s="56"/>
      <c r="H42" s="56"/>
      <c r="I42" s="56"/>
      <c r="J42" s="57"/>
    </row>
    <row r="43" spans="1:14" customFormat="1" ht="15.6" x14ac:dyDescent="0.3">
      <c r="B43" s="55"/>
      <c r="C43" s="56"/>
      <c r="D43" s="56"/>
      <c r="E43" s="56" t="s">
        <v>65</v>
      </c>
      <c r="F43" s="56"/>
      <c r="G43" s="56"/>
      <c r="H43" s="56"/>
      <c r="I43" s="56"/>
      <c r="J43" s="57"/>
    </row>
    <row r="44" spans="1:14" customFormat="1" ht="15.6" x14ac:dyDescent="0.3">
      <c r="B44" s="55"/>
      <c r="C44" s="56" t="s">
        <v>66</v>
      </c>
      <c r="D44" s="56"/>
      <c r="E44" s="56"/>
      <c r="F44" s="56"/>
      <c r="G44" s="56"/>
      <c r="H44" s="56"/>
      <c r="I44" s="56"/>
      <c r="J44" s="57"/>
    </row>
    <row r="45" spans="1:14" s="48" customFormat="1" ht="16.2" x14ac:dyDescent="0.35">
      <c r="B45" s="55"/>
      <c r="C45" s="56"/>
      <c r="D45" s="56"/>
      <c r="E45" s="58" t="s">
        <v>67</v>
      </c>
      <c r="F45" s="56"/>
      <c r="G45" s="56"/>
      <c r="H45" s="56"/>
      <c r="I45" s="56"/>
      <c r="J45" s="57"/>
    </row>
    <row r="46" spans="1:14" s="48" customFormat="1" ht="15.6" x14ac:dyDescent="0.3">
      <c r="B46" s="55"/>
      <c r="C46" s="56"/>
      <c r="D46" s="56"/>
      <c r="E46" s="56"/>
      <c r="F46" s="56"/>
      <c r="G46" s="56"/>
      <c r="H46" s="56"/>
      <c r="I46" s="56"/>
      <c r="J46" s="57"/>
    </row>
    <row r="47" spans="1:14" s="48" customFormat="1" ht="15.6" x14ac:dyDescent="0.3">
      <c r="B47" s="81" t="s">
        <v>68</v>
      </c>
      <c r="C47" s="82"/>
      <c r="D47" s="82"/>
      <c r="E47" s="82"/>
      <c r="F47" s="82"/>
      <c r="G47" s="82"/>
      <c r="H47" s="56"/>
      <c r="I47" s="56"/>
      <c r="J47" s="57"/>
    </row>
    <row r="48" spans="1:14" s="48" customFormat="1" ht="23.25" customHeight="1" x14ac:dyDescent="0.3">
      <c r="B48" s="59"/>
      <c r="C48" s="60"/>
      <c r="D48" s="60"/>
      <c r="E48" s="60"/>
      <c r="F48" s="60"/>
      <c r="G48" s="60"/>
      <c r="H48" s="60"/>
      <c r="I48" s="60"/>
      <c r="J48" s="61"/>
    </row>
    <row r="49" spans="2:4" x14ac:dyDescent="0.25">
      <c r="B49" s="30"/>
      <c r="C49" s="30"/>
      <c r="D49" s="30"/>
    </row>
    <row r="50" spans="2:4" x14ac:dyDescent="0.25">
      <c r="B50" s="30"/>
      <c r="C50" s="30"/>
      <c r="D50" s="30"/>
    </row>
    <row r="51" spans="2:4" x14ac:dyDescent="0.25">
      <c r="B51" s="30"/>
      <c r="C51" s="30"/>
      <c r="D51" s="30"/>
    </row>
    <row r="52" spans="2:4" x14ac:dyDescent="0.25">
      <c r="B52" s="30"/>
      <c r="C52" s="30"/>
      <c r="D52" s="30"/>
    </row>
  </sheetData>
  <mergeCells count="10">
    <mergeCell ref="A1:N1"/>
    <mergeCell ref="C22:D22"/>
    <mergeCell ref="C23:D23"/>
    <mergeCell ref="B47:G47"/>
    <mergeCell ref="H25:N25"/>
    <mergeCell ref="A6:B6"/>
    <mergeCell ref="C24:N24"/>
    <mergeCell ref="A5:B5"/>
    <mergeCell ref="I6:J6"/>
    <mergeCell ref="M6:N6"/>
  </mergeCells>
  <printOptions horizontalCentered="1" verticalCentered="1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F5416E-1259-4A1F-8669-D82375E70BFB}">
  <dimension ref="A1:Q51"/>
  <sheetViews>
    <sheetView topLeftCell="I30" zoomScale="194" zoomScaleNormal="194" workbookViewId="0">
      <selection activeCell="L27" sqref="L27"/>
    </sheetView>
  </sheetViews>
  <sheetFormatPr baseColWidth="10" defaultColWidth="11.44140625" defaultRowHeight="13.8" x14ac:dyDescent="0.25"/>
  <cols>
    <col min="1" max="1" width="11.33203125" style="1" customWidth="1"/>
    <col min="2" max="12" width="12.109375" style="1" customWidth="1"/>
    <col min="13" max="13" width="10.44140625" style="1" customWidth="1"/>
    <col min="14" max="14" width="12.109375" style="1" customWidth="1"/>
    <col min="15" max="15" width="4.5546875" style="1" customWidth="1"/>
    <col min="16" max="16384" width="11.44140625" style="1"/>
  </cols>
  <sheetData>
    <row r="1" spans="1:17" ht="21" x14ac:dyDescent="0.4">
      <c r="A1" s="67" t="s">
        <v>0</v>
      </c>
      <c r="B1" s="67"/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</row>
    <row r="3" spans="1:17" x14ac:dyDescent="0.25">
      <c r="B3" s="1" t="s">
        <v>1</v>
      </c>
      <c r="J3" s="1" t="s">
        <v>2</v>
      </c>
      <c r="K3" s="1">
        <v>11.52</v>
      </c>
    </row>
    <row r="4" spans="1:17" ht="14.25" customHeight="1" x14ac:dyDescent="0.25"/>
    <row r="5" spans="1:17" customFormat="1" ht="15" customHeight="1" x14ac:dyDescent="0.3">
      <c r="A5" s="68" t="s">
        <v>3</v>
      </c>
      <c r="B5" s="69"/>
      <c r="C5" s="2" t="s">
        <v>4</v>
      </c>
      <c r="D5" s="2" t="s">
        <v>5</v>
      </c>
      <c r="E5" s="2" t="s">
        <v>6</v>
      </c>
      <c r="F5" s="2" t="s">
        <v>7</v>
      </c>
      <c r="G5" s="2" t="s">
        <v>8</v>
      </c>
      <c r="H5" s="3"/>
    </row>
    <row r="6" spans="1:17" s="8" customFormat="1" ht="14.4" x14ac:dyDescent="0.3">
      <c r="A6" s="70" t="s">
        <v>9</v>
      </c>
      <c r="B6" s="71"/>
      <c r="C6" s="4">
        <f>'[1]BP FEVRIER    '!C57</f>
        <v>4590</v>
      </c>
      <c r="D6" s="4"/>
      <c r="E6" s="5">
        <v>3.4500000000000003E-2</v>
      </c>
      <c r="F6" s="4"/>
      <c r="G6" s="4">
        <f>ROUND(C6*E6,2)</f>
        <v>158.36000000000001</v>
      </c>
      <c r="H6" s="6"/>
      <c r="I6" s="72"/>
      <c r="J6" s="72"/>
      <c r="M6" s="73"/>
      <c r="N6" s="73"/>
      <c r="P6" s="10"/>
      <c r="Q6" s="11"/>
    </row>
    <row r="7" spans="1:17" s="8" customFormat="1" ht="14.4" x14ac:dyDescent="0.3">
      <c r="A7" s="12"/>
      <c r="B7" s="13"/>
      <c r="C7" s="4">
        <f>IF(C6&gt;3.5*K3*35*52/12,C6,0)</f>
        <v>0</v>
      </c>
      <c r="D7" s="4"/>
      <c r="E7" s="14">
        <v>1.7999999999999999E-2</v>
      </c>
      <c r="F7" s="4"/>
      <c r="G7" s="4">
        <f>ROUND(C7*E7,2)</f>
        <v>0</v>
      </c>
      <c r="H7" s="6"/>
      <c r="I7" s="15"/>
      <c r="J7" s="7"/>
      <c r="M7" s="9"/>
      <c r="N7" s="9"/>
      <c r="P7" s="10"/>
      <c r="Q7" s="11"/>
    </row>
    <row r="8" spans="1:17" s="8" customFormat="1" ht="12" customHeight="1" x14ac:dyDescent="0.3">
      <c r="A8" s="16"/>
      <c r="B8" s="64" t="s">
        <v>74</v>
      </c>
      <c r="C8" s="17"/>
      <c r="D8" s="17"/>
      <c r="E8" s="17"/>
      <c r="F8" s="17"/>
      <c r="G8" s="17"/>
      <c r="H8" s="6"/>
      <c r="I8" s="15"/>
      <c r="J8" s="7"/>
      <c r="M8" s="9"/>
      <c r="N8" s="9"/>
      <c r="P8" s="10"/>
      <c r="Q8" s="11"/>
    </row>
    <row r="9" spans="1:17" x14ac:dyDescent="0.25">
      <c r="B9" s="1" t="s">
        <v>10</v>
      </c>
    </row>
    <row r="10" spans="1:17" x14ac:dyDescent="0.25">
      <c r="B10" s="1" t="s">
        <v>69</v>
      </c>
    </row>
    <row r="11" spans="1:17" x14ac:dyDescent="0.25">
      <c r="B11" s="1" t="s">
        <v>86</v>
      </c>
    </row>
    <row r="12" spans="1:17" x14ac:dyDescent="0.25">
      <c r="B12" s="1" t="s">
        <v>11</v>
      </c>
    </row>
    <row r="13" spans="1:17" x14ac:dyDescent="0.25">
      <c r="C13" s="1" t="s">
        <v>12</v>
      </c>
    </row>
    <row r="14" spans="1:17" x14ac:dyDescent="0.25">
      <c r="C14" s="1" t="s">
        <v>13</v>
      </c>
    </row>
    <row r="15" spans="1:17" x14ac:dyDescent="0.25">
      <c r="D15" s="1" t="s">
        <v>14</v>
      </c>
    </row>
    <row r="16" spans="1:17" x14ac:dyDescent="0.25">
      <c r="E16" s="1" t="s">
        <v>15</v>
      </c>
    </row>
    <row r="17" spans="1:15" x14ac:dyDescent="0.25">
      <c r="B17" s="1" t="s">
        <v>16</v>
      </c>
    </row>
    <row r="18" spans="1:15" ht="10.5" customHeight="1" x14ac:dyDescent="0.25">
      <c r="B18" s="1" t="s">
        <v>85</v>
      </c>
    </row>
    <row r="19" spans="1:15" ht="9.75" customHeight="1" x14ac:dyDescent="0.25">
      <c r="B19" s="1" t="s">
        <v>90</v>
      </c>
    </row>
    <row r="20" spans="1:15" x14ac:dyDescent="0.25">
      <c r="A20" s="19" t="s">
        <v>17</v>
      </c>
      <c r="B20" s="19" t="s">
        <v>18</v>
      </c>
      <c r="C20" s="19" t="s">
        <v>59</v>
      </c>
      <c r="D20" s="19" t="s">
        <v>20</v>
      </c>
      <c r="E20" s="19" t="s">
        <v>21</v>
      </c>
      <c r="F20" s="19" t="s">
        <v>22</v>
      </c>
      <c r="G20" s="19" t="s">
        <v>23</v>
      </c>
      <c r="H20" s="19" t="s">
        <v>24</v>
      </c>
      <c r="I20" s="19" t="s">
        <v>25</v>
      </c>
      <c r="J20" s="19" t="s">
        <v>26</v>
      </c>
      <c r="K20" s="19" t="s">
        <v>27</v>
      </c>
      <c r="L20" s="19" t="s">
        <v>28</v>
      </c>
      <c r="M20" s="19" t="s">
        <v>29</v>
      </c>
      <c r="N20" s="19" t="s">
        <v>30</v>
      </c>
    </row>
    <row r="21" spans="1:15" x14ac:dyDescent="0.25">
      <c r="A21" s="18" t="s">
        <v>2</v>
      </c>
      <c r="B21" s="41">
        <v>11.52</v>
      </c>
      <c r="C21" s="20"/>
      <c r="D21" s="20"/>
      <c r="O21" s="39">
        <v>21</v>
      </c>
    </row>
    <row r="22" spans="1:15" x14ac:dyDescent="0.25">
      <c r="A22" s="18" t="s">
        <v>31</v>
      </c>
      <c r="B22" s="42">
        <v>11.52</v>
      </c>
      <c r="C22" s="20"/>
      <c r="D22" s="20"/>
      <c r="O22" s="39">
        <v>22</v>
      </c>
    </row>
    <row r="23" spans="1:15" ht="28.5" customHeight="1" x14ac:dyDescent="0.25">
      <c r="C23" s="90" t="s">
        <v>32</v>
      </c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1"/>
      <c r="O23" s="39">
        <v>23</v>
      </c>
    </row>
    <row r="24" spans="1:15" ht="30.75" customHeight="1" x14ac:dyDescent="0.25">
      <c r="H24" s="87" t="s">
        <v>33</v>
      </c>
      <c r="I24" s="88"/>
      <c r="J24" s="88"/>
      <c r="K24" s="88"/>
      <c r="L24" s="88"/>
      <c r="M24" s="88"/>
      <c r="N24" s="89"/>
      <c r="O24" s="39">
        <v>24</v>
      </c>
    </row>
    <row r="25" spans="1:15" ht="41.4" x14ac:dyDescent="0.25">
      <c r="B25" s="21" t="s">
        <v>34</v>
      </c>
      <c r="C25" s="21" t="s">
        <v>35</v>
      </c>
      <c r="D25" s="21" t="s">
        <v>36</v>
      </c>
      <c r="E25" s="22" t="s">
        <v>37</v>
      </c>
      <c r="F25" s="22" t="s">
        <v>75</v>
      </c>
      <c r="G25" s="21" t="s">
        <v>39</v>
      </c>
      <c r="H25" s="23" t="s">
        <v>40</v>
      </c>
      <c r="I25" s="23" t="s">
        <v>41</v>
      </c>
      <c r="J25" s="21" t="s">
        <v>42</v>
      </c>
      <c r="K25" s="21" t="s">
        <v>43</v>
      </c>
      <c r="L25" s="21" t="s">
        <v>44</v>
      </c>
      <c r="M25" s="21" t="s">
        <v>45</v>
      </c>
      <c r="N25" s="32" t="s">
        <v>46</v>
      </c>
      <c r="O25" s="39">
        <v>25</v>
      </c>
    </row>
    <row r="26" spans="1:15" ht="25.5" customHeight="1" x14ac:dyDescent="0.25">
      <c r="A26" s="24" t="s">
        <v>47</v>
      </c>
      <c r="B26" s="31">
        <v>7000</v>
      </c>
      <c r="C26" s="31">
        <v>159.66999999999999</v>
      </c>
      <c r="D26" s="24">
        <f>C26</f>
        <v>159.66999999999999</v>
      </c>
      <c r="E26" s="25">
        <f>B26</f>
        <v>7000</v>
      </c>
      <c r="F26" s="25">
        <f>3.3*D26*$B$21</f>
        <v>6070.0147199999992</v>
      </c>
      <c r="G26" s="24">
        <f>B26</f>
        <v>7000</v>
      </c>
      <c r="H26" s="24" t="str">
        <f>IF(E26&lt;=F26,"Non","Oui")</f>
        <v>Oui</v>
      </c>
      <c r="I26" s="25">
        <f>IF(E26&lt;=F26,0,E26)</f>
        <v>7000</v>
      </c>
      <c r="J26" s="25">
        <f>I26</f>
        <v>7000</v>
      </c>
      <c r="K26" s="25">
        <f>I26*1.8%</f>
        <v>126.00000000000001</v>
      </c>
      <c r="L26" s="40">
        <f>J26*1.8%</f>
        <v>126.00000000000001</v>
      </c>
      <c r="M26" s="24">
        <f>IF(E26&lt;=F26,E26*1.8%,0)</f>
        <v>0</v>
      </c>
      <c r="N26" s="33">
        <f>M26</f>
        <v>0</v>
      </c>
      <c r="O26" s="39">
        <v>26</v>
      </c>
    </row>
    <row r="27" spans="1:15" ht="25.5" customHeight="1" x14ac:dyDescent="0.25">
      <c r="A27" s="24" t="s">
        <v>48</v>
      </c>
      <c r="B27" s="31">
        <v>5000</v>
      </c>
      <c r="C27" s="31">
        <f>'[1]SUIVI RED GENERALE DE COT. '!D67</f>
        <v>151.66999999999999</v>
      </c>
      <c r="D27" s="24">
        <f>D26+C27</f>
        <v>311.33999999999997</v>
      </c>
      <c r="E27" s="25">
        <f>E26+B27</f>
        <v>12000</v>
      </c>
      <c r="F27" s="25">
        <f t="shared" ref="F27:F37" si="0">3.3*D27*$B$21</f>
        <v>11835.901439999998</v>
      </c>
      <c r="G27" s="24">
        <f t="shared" ref="G27:G37" si="1">B27</f>
        <v>5000</v>
      </c>
      <c r="H27" s="24" t="str">
        <f t="shared" ref="H27:H37" si="2">IF(E27&lt;=F27,"Non","Oui")</f>
        <v>Oui</v>
      </c>
      <c r="I27" s="25">
        <f>IF(E27&lt;=F27,0,E27)</f>
        <v>12000</v>
      </c>
      <c r="J27" s="25">
        <f>I27-I26</f>
        <v>5000</v>
      </c>
      <c r="K27" s="25">
        <f t="shared" ref="K27:L37" si="3">I27*1.8%</f>
        <v>216.00000000000003</v>
      </c>
      <c r="L27" s="40">
        <f t="shared" si="3"/>
        <v>90.000000000000014</v>
      </c>
      <c r="M27" s="24">
        <f>IF(I27=0,E27*1.8%,0)</f>
        <v>0</v>
      </c>
      <c r="N27" s="33">
        <f>M27-M26</f>
        <v>0</v>
      </c>
      <c r="O27" s="39">
        <v>27</v>
      </c>
    </row>
    <row r="28" spans="1:15" ht="25.5" customHeight="1" x14ac:dyDescent="0.25">
      <c r="A28" s="24" t="s">
        <v>49</v>
      </c>
      <c r="B28" s="31">
        <v>6000</v>
      </c>
      <c r="C28" s="31">
        <f>'[1]SUIVI RED GENERALE DE COT. '!D68</f>
        <v>151.66999999999999</v>
      </c>
      <c r="D28" s="24">
        <f t="shared" ref="D28:D37" si="4">D27+C28</f>
        <v>463.01</v>
      </c>
      <c r="E28" s="25">
        <f t="shared" ref="E28:E37" si="5">E27+B28</f>
        <v>18000</v>
      </c>
      <c r="F28" s="25">
        <f t="shared" si="0"/>
        <v>17601.78816</v>
      </c>
      <c r="G28" s="24">
        <f t="shared" si="1"/>
        <v>6000</v>
      </c>
      <c r="H28" s="24" t="str">
        <f t="shared" si="2"/>
        <v>Oui</v>
      </c>
      <c r="I28" s="25">
        <f t="shared" ref="I28:I37" si="6">IF(E28&lt;=F28,0,E28)</f>
        <v>18000</v>
      </c>
      <c r="J28" s="25">
        <f t="shared" ref="J28:J37" si="7">I28-I27</f>
        <v>6000</v>
      </c>
      <c r="K28" s="25">
        <f t="shared" si="3"/>
        <v>324.00000000000006</v>
      </c>
      <c r="L28" s="40">
        <f t="shared" si="3"/>
        <v>108.00000000000001</v>
      </c>
      <c r="M28" s="24">
        <f t="shared" ref="M28:M36" si="8">IF(I28=0,E28*1.8%,0)</f>
        <v>0</v>
      </c>
      <c r="N28" s="33">
        <f t="shared" ref="N28:N37" si="9">M28-M27</f>
        <v>0</v>
      </c>
      <c r="O28" s="39">
        <v>28</v>
      </c>
    </row>
    <row r="29" spans="1:15" ht="25.5" customHeight="1" x14ac:dyDescent="0.25">
      <c r="A29" s="24" t="s">
        <v>50</v>
      </c>
      <c r="B29" s="31">
        <v>7000</v>
      </c>
      <c r="C29" s="31">
        <f>'[1]SUIVI RED GENERALE DE COT. '!D69</f>
        <v>151.66999999999999</v>
      </c>
      <c r="D29" s="24">
        <f t="shared" si="4"/>
        <v>614.67999999999995</v>
      </c>
      <c r="E29" s="25">
        <f t="shared" si="5"/>
        <v>25000</v>
      </c>
      <c r="F29" s="25">
        <f t="shared" si="0"/>
        <v>23367.674879999995</v>
      </c>
      <c r="G29" s="24">
        <f t="shared" si="1"/>
        <v>7000</v>
      </c>
      <c r="H29" s="24" t="str">
        <f t="shared" si="2"/>
        <v>Oui</v>
      </c>
      <c r="I29" s="25">
        <f t="shared" si="6"/>
        <v>25000</v>
      </c>
      <c r="J29" s="25">
        <f t="shared" si="7"/>
        <v>7000</v>
      </c>
      <c r="K29" s="25">
        <f t="shared" si="3"/>
        <v>450.00000000000006</v>
      </c>
      <c r="L29" s="40">
        <f t="shared" si="3"/>
        <v>126.00000000000001</v>
      </c>
      <c r="M29" s="24">
        <f t="shared" si="8"/>
        <v>0</v>
      </c>
      <c r="N29" s="33">
        <f t="shared" si="9"/>
        <v>0</v>
      </c>
      <c r="O29" s="39">
        <v>29</v>
      </c>
    </row>
    <row r="30" spans="1:15" ht="25.5" customHeight="1" x14ac:dyDescent="0.25">
      <c r="A30" s="24" t="s">
        <v>51</v>
      </c>
      <c r="B30" s="31">
        <v>3000</v>
      </c>
      <c r="C30" s="31">
        <f>'[1]SUIVI RED GENERALE DE COT. '!D70</f>
        <v>151.66999999999999</v>
      </c>
      <c r="D30" s="24">
        <f t="shared" si="4"/>
        <v>766.34999999999991</v>
      </c>
      <c r="E30" s="25">
        <f t="shared" si="5"/>
        <v>28000</v>
      </c>
      <c r="F30" s="25">
        <f t="shared" si="0"/>
        <v>29133.561599999994</v>
      </c>
      <c r="G30" s="24">
        <f t="shared" si="1"/>
        <v>3000</v>
      </c>
      <c r="H30" s="24" t="str">
        <f t="shared" si="2"/>
        <v>Non</v>
      </c>
      <c r="I30" s="25">
        <f t="shared" si="6"/>
        <v>0</v>
      </c>
      <c r="J30" s="25">
        <f t="shared" si="7"/>
        <v>-25000</v>
      </c>
      <c r="K30" s="25">
        <f t="shared" si="3"/>
        <v>0</v>
      </c>
      <c r="L30" s="40">
        <f t="shared" si="3"/>
        <v>-450.00000000000006</v>
      </c>
      <c r="M30" s="24">
        <f t="shared" si="8"/>
        <v>504.00000000000006</v>
      </c>
      <c r="N30" s="33">
        <f t="shared" si="9"/>
        <v>504.00000000000006</v>
      </c>
      <c r="O30" s="39">
        <v>30</v>
      </c>
    </row>
    <row r="31" spans="1:15" ht="25.5" customHeight="1" x14ac:dyDescent="0.25">
      <c r="A31" s="24" t="s">
        <v>52</v>
      </c>
      <c r="B31" s="31">
        <v>7000</v>
      </c>
      <c r="C31" s="31">
        <f>'[1]SUIVI RED GENERALE DE COT. '!$D$71</f>
        <v>151.66999999999999</v>
      </c>
      <c r="D31" s="24">
        <f t="shared" si="4"/>
        <v>918.01999999999987</v>
      </c>
      <c r="E31" s="25">
        <f t="shared" si="5"/>
        <v>35000</v>
      </c>
      <c r="F31" s="25">
        <f t="shared" si="0"/>
        <v>34899.448319999996</v>
      </c>
      <c r="G31" s="24">
        <f t="shared" si="1"/>
        <v>7000</v>
      </c>
      <c r="H31" s="24" t="str">
        <f t="shared" si="2"/>
        <v>Oui</v>
      </c>
      <c r="I31" s="40">
        <f t="shared" si="6"/>
        <v>35000</v>
      </c>
      <c r="J31" s="25">
        <f t="shared" si="7"/>
        <v>35000</v>
      </c>
      <c r="K31" s="25">
        <f t="shared" si="3"/>
        <v>630.00000000000011</v>
      </c>
      <c r="L31" s="40">
        <f t="shared" si="3"/>
        <v>630.00000000000011</v>
      </c>
      <c r="M31" s="24">
        <f t="shared" si="8"/>
        <v>0</v>
      </c>
      <c r="N31" s="33">
        <f t="shared" si="9"/>
        <v>-504.00000000000006</v>
      </c>
      <c r="O31" s="39">
        <v>31</v>
      </c>
    </row>
    <row r="32" spans="1:15" ht="25.5" customHeight="1" x14ac:dyDescent="0.25">
      <c r="A32" s="24" t="s">
        <v>53</v>
      </c>
      <c r="B32" s="31">
        <v>7000</v>
      </c>
      <c r="C32" s="31">
        <f>'[1]SUIVI RED GENERALE DE COT. '!$D$71</f>
        <v>151.66999999999999</v>
      </c>
      <c r="D32" s="24">
        <f t="shared" si="4"/>
        <v>1069.6899999999998</v>
      </c>
      <c r="E32" s="25">
        <f t="shared" si="5"/>
        <v>42000</v>
      </c>
      <c r="F32" s="25">
        <f t="shared" si="0"/>
        <v>40665.335039999991</v>
      </c>
      <c r="G32" s="25">
        <f t="shared" si="1"/>
        <v>7000</v>
      </c>
      <c r="H32" s="25" t="str">
        <f t="shared" si="2"/>
        <v>Oui</v>
      </c>
      <c r="I32" s="25">
        <f t="shared" si="6"/>
        <v>42000</v>
      </c>
      <c r="J32" s="25">
        <f t="shared" si="7"/>
        <v>7000</v>
      </c>
      <c r="K32" s="25">
        <f t="shared" si="3"/>
        <v>756.00000000000011</v>
      </c>
      <c r="L32" s="25">
        <f t="shared" si="3"/>
        <v>126.00000000000001</v>
      </c>
      <c r="M32" s="24">
        <f t="shared" si="8"/>
        <v>0</v>
      </c>
      <c r="N32" s="25">
        <f t="shared" si="9"/>
        <v>0</v>
      </c>
      <c r="O32" s="39">
        <v>32</v>
      </c>
    </row>
    <row r="33" spans="1:15" ht="25.5" customHeight="1" x14ac:dyDescent="0.25">
      <c r="A33" s="24" t="s">
        <v>54</v>
      </c>
      <c r="B33" s="31">
        <v>7000</v>
      </c>
      <c r="C33" s="31">
        <f>'[1]SUIVI RED GENERALE DE COT. '!$D$71</f>
        <v>151.66999999999999</v>
      </c>
      <c r="D33" s="24">
        <f t="shared" si="4"/>
        <v>1221.3599999999999</v>
      </c>
      <c r="E33" s="25">
        <f t="shared" si="5"/>
        <v>49000</v>
      </c>
      <c r="F33" s="25">
        <f t="shared" si="0"/>
        <v>46431.221759999993</v>
      </c>
      <c r="G33" s="25">
        <f t="shared" si="1"/>
        <v>7000</v>
      </c>
      <c r="H33" s="25" t="str">
        <f t="shared" si="2"/>
        <v>Oui</v>
      </c>
      <c r="I33" s="25">
        <f t="shared" si="6"/>
        <v>49000</v>
      </c>
      <c r="J33" s="25">
        <f t="shared" si="7"/>
        <v>7000</v>
      </c>
      <c r="K33" s="25">
        <f t="shared" si="3"/>
        <v>882.00000000000011</v>
      </c>
      <c r="L33" s="25">
        <f t="shared" si="3"/>
        <v>126.00000000000001</v>
      </c>
      <c r="M33" s="24">
        <f>IF(I33=0,E33*1.8%,0)</f>
        <v>0</v>
      </c>
      <c r="N33" s="25">
        <f t="shared" si="9"/>
        <v>0</v>
      </c>
      <c r="O33" s="39">
        <v>33</v>
      </c>
    </row>
    <row r="34" spans="1:15" ht="25.5" customHeight="1" x14ac:dyDescent="0.25">
      <c r="A34" s="24" t="s">
        <v>55</v>
      </c>
      <c r="B34" s="31">
        <v>7000</v>
      </c>
      <c r="C34" s="31">
        <f>'[1]SUIVI RED GENERALE DE COT. '!$D$71</f>
        <v>151.66999999999999</v>
      </c>
      <c r="D34" s="24">
        <f t="shared" si="4"/>
        <v>1373.03</v>
      </c>
      <c r="E34" s="25">
        <f t="shared" si="5"/>
        <v>56000</v>
      </c>
      <c r="F34" s="25">
        <f t="shared" si="0"/>
        <v>52197.108479999995</v>
      </c>
      <c r="G34" s="25">
        <f t="shared" si="1"/>
        <v>7000</v>
      </c>
      <c r="H34" s="25" t="str">
        <f t="shared" si="2"/>
        <v>Oui</v>
      </c>
      <c r="I34" s="25">
        <f t="shared" si="6"/>
        <v>56000</v>
      </c>
      <c r="J34" s="25">
        <f t="shared" si="7"/>
        <v>7000</v>
      </c>
      <c r="K34" s="25">
        <f t="shared" si="3"/>
        <v>1008.0000000000001</v>
      </c>
      <c r="L34" s="25">
        <f t="shared" si="3"/>
        <v>126.00000000000001</v>
      </c>
      <c r="M34" s="24">
        <f t="shared" si="8"/>
        <v>0</v>
      </c>
      <c r="N34" s="25">
        <f t="shared" si="9"/>
        <v>0</v>
      </c>
      <c r="O34" s="39">
        <v>34</v>
      </c>
    </row>
    <row r="35" spans="1:15" ht="25.5" customHeight="1" x14ac:dyDescent="0.25">
      <c r="A35" s="24" t="s">
        <v>56</v>
      </c>
      <c r="B35" s="31">
        <v>7000</v>
      </c>
      <c r="C35" s="31">
        <f>'[1]SUIVI RED GENERALE DE COT. '!$D$71</f>
        <v>151.66999999999999</v>
      </c>
      <c r="D35" s="24">
        <f t="shared" si="4"/>
        <v>1524.7</v>
      </c>
      <c r="E35" s="25">
        <f t="shared" si="5"/>
        <v>63000</v>
      </c>
      <c r="F35" s="25">
        <f t="shared" si="0"/>
        <v>57962.995199999998</v>
      </c>
      <c r="G35" s="25">
        <f t="shared" si="1"/>
        <v>7000</v>
      </c>
      <c r="H35" s="25" t="str">
        <f t="shared" si="2"/>
        <v>Oui</v>
      </c>
      <c r="I35" s="25">
        <f t="shared" si="6"/>
        <v>63000</v>
      </c>
      <c r="J35" s="25">
        <f t="shared" si="7"/>
        <v>7000</v>
      </c>
      <c r="K35" s="25">
        <f t="shared" si="3"/>
        <v>1134.0000000000002</v>
      </c>
      <c r="L35" s="25">
        <f t="shared" si="3"/>
        <v>126.00000000000001</v>
      </c>
      <c r="M35" s="24">
        <f t="shared" si="8"/>
        <v>0</v>
      </c>
      <c r="N35" s="25">
        <f t="shared" si="9"/>
        <v>0</v>
      </c>
      <c r="O35" s="39">
        <v>35</v>
      </c>
    </row>
    <row r="36" spans="1:15" ht="25.5" customHeight="1" x14ac:dyDescent="0.25">
      <c r="A36" s="24" t="s">
        <v>57</v>
      </c>
      <c r="B36" s="31">
        <v>7000</v>
      </c>
      <c r="C36" s="31">
        <f>'[1]SUIVI RED GENERALE DE COT. '!$D$71</f>
        <v>151.66999999999999</v>
      </c>
      <c r="D36" s="24">
        <f t="shared" si="4"/>
        <v>1676.3700000000001</v>
      </c>
      <c r="E36" s="25">
        <f t="shared" si="5"/>
        <v>70000</v>
      </c>
      <c r="F36" s="25">
        <f t="shared" si="0"/>
        <v>63728.881919999993</v>
      </c>
      <c r="G36" s="25">
        <f t="shared" si="1"/>
        <v>7000</v>
      </c>
      <c r="H36" s="25" t="str">
        <f t="shared" si="2"/>
        <v>Oui</v>
      </c>
      <c r="I36" s="25">
        <f t="shared" si="6"/>
        <v>70000</v>
      </c>
      <c r="J36" s="25">
        <f t="shared" si="7"/>
        <v>7000</v>
      </c>
      <c r="K36" s="25">
        <f t="shared" si="3"/>
        <v>1260.0000000000002</v>
      </c>
      <c r="L36" s="25">
        <f t="shared" si="3"/>
        <v>126.00000000000001</v>
      </c>
      <c r="M36" s="24">
        <f t="shared" si="8"/>
        <v>0</v>
      </c>
      <c r="N36" s="25">
        <f t="shared" si="9"/>
        <v>0</v>
      </c>
      <c r="O36" s="39">
        <v>36</v>
      </c>
    </row>
    <row r="37" spans="1:15" ht="25.5" customHeight="1" x14ac:dyDescent="0.25">
      <c r="A37" s="24" t="s">
        <v>58</v>
      </c>
      <c r="B37" s="31">
        <v>2000</v>
      </c>
      <c r="C37" s="31">
        <f>'[1]SUIVI RED GENERALE DE COT. '!$D$71</f>
        <v>151.66999999999999</v>
      </c>
      <c r="D37" s="24">
        <f t="shared" si="4"/>
        <v>1828.0400000000002</v>
      </c>
      <c r="E37" s="25">
        <f t="shared" si="5"/>
        <v>72000</v>
      </c>
      <c r="F37" s="25">
        <f t="shared" si="0"/>
        <v>69494.768639999995</v>
      </c>
      <c r="G37" s="25">
        <f t="shared" si="1"/>
        <v>2000</v>
      </c>
      <c r="H37" s="25" t="str">
        <f t="shared" si="2"/>
        <v>Oui</v>
      </c>
      <c r="I37" s="25">
        <f t="shared" si="6"/>
        <v>72000</v>
      </c>
      <c r="J37" s="25">
        <f t="shared" si="7"/>
        <v>2000</v>
      </c>
      <c r="K37" s="25">
        <f t="shared" si="3"/>
        <v>1296.0000000000002</v>
      </c>
      <c r="L37" s="25">
        <f t="shared" si="3"/>
        <v>36.000000000000007</v>
      </c>
      <c r="M37" s="24">
        <f>IF(I37=0,E37*1.8%-M36,0)</f>
        <v>0</v>
      </c>
      <c r="N37" s="25">
        <f t="shared" si="9"/>
        <v>0</v>
      </c>
      <c r="O37" s="39">
        <v>37</v>
      </c>
    </row>
    <row r="38" spans="1:15" ht="45" customHeight="1" x14ac:dyDescent="0.25">
      <c r="B38" s="38">
        <f>SUM(B26:B37)</f>
        <v>72000</v>
      </c>
      <c r="C38" s="29"/>
      <c r="D38" s="29"/>
    </row>
    <row r="39" spans="1:15" ht="30" customHeight="1" x14ac:dyDescent="0.25">
      <c r="J39" s="30"/>
      <c r="K39" s="30"/>
    </row>
    <row r="48" spans="1:15" x14ac:dyDescent="0.25">
      <c r="B48" s="30"/>
      <c r="C48" s="30"/>
      <c r="D48" s="30"/>
    </row>
    <row r="49" spans="2:4" x14ac:dyDescent="0.25">
      <c r="B49" s="30"/>
      <c r="C49" s="30"/>
      <c r="D49" s="30"/>
    </row>
    <row r="50" spans="2:4" x14ac:dyDescent="0.25">
      <c r="B50" s="30"/>
      <c r="C50" s="30"/>
      <c r="D50" s="30"/>
    </row>
    <row r="51" spans="2:4" x14ac:dyDescent="0.25">
      <c r="B51" s="30"/>
      <c r="C51" s="30"/>
      <c r="D51" s="30"/>
    </row>
  </sheetData>
  <mergeCells count="7">
    <mergeCell ref="H24:N24"/>
    <mergeCell ref="A1:M1"/>
    <mergeCell ref="A5:B5"/>
    <mergeCell ref="A6:B6"/>
    <mergeCell ref="I6:J6"/>
    <mergeCell ref="M6:N6"/>
    <mergeCell ref="C23:N23"/>
  </mergeCells>
  <printOptions horizontalCentered="1" verticalCentered="1"/>
  <pageMargins left="0" right="0" top="0.15748031496062992" bottom="0.15748031496062992" header="0.31496062992125984" footer="0.31496062992125984"/>
  <pageSetup paperSize="9" scale="80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F752CB-58EF-4F74-9419-5092D6823750}">
  <dimension ref="A1:R45"/>
  <sheetViews>
    <sheetView tabSelected="1" topLeftCell="H25" zoomScale="140" zoomScaleNormal="140" workbookViewId="0">
      <selection activeCell="N28" sqref="N28"/>
    </sheetView>
  </sheetViews>
  <sheetFormatPr baseColWidth="10" defaultColWidth="11.44140625" defaultRowHeight="13.8" x14ac:dyDescent="0.25"/>
  <cols>
    <col min="1" max="1" width="11.33203125" style="1" customWidth="1"/>
    <col min="2" max="2" width="12.44140625" style="1" customWidth="1"/>
    <col min="3" max="9" width="11.33203125" style="1" customWidth="1"/>
    <col min="10" max="10" width="11.6640625" style="1" bestFit="1" customWidth="1"/>
    <col min="11" max="15" width="11.33203125" style="1" customWidth="1"/>
    <col min="16" max="16" width="5.44140625" style="1" customWidth="1"/>
    <col min="17" max="16384" width="11.44140625" style="1"/>
  </cols>
  <sheetData>
    <row r="1" spans="1:18" ht="21" x14ac:dyDescent="0.4">
      <c r="A1" s="79" t="s">
        <v>81</v>
      </c>
      <c r="B1" s="79"/>
      <c r="C1" s="79"/>
      <c r="D1" s="79"/>
      <c r="E1" s="79"/>
      <c r="F1" s="79"/>
      <c r="G1" s="79"/>
      <c r="H1" s="79"/>
      <c r="I1" s="79"/>
      <c r="J1" s="79"/>
      <c r="K1" s="79"/>
      <c r="L1" s="79"/>
      <c r="M1" s="79"/>
      <c r="N1" s="79"/>
    </row>
    <row r="3" spans="1:18" x14ac:dyDescent="0.25">
      <c r="B3" s="1" t="s">
        <v>1</v>
      </c>
    </row>
    <row r="5" spans="1:18" customFormat="1" ht="27.75" customHeight="1" x14ac:dyDescent="0.3">
      <c r="A5" s="68" t="s">
        <v>3</v>
      </c>
      <c r="B5" s="69"/>
      <c r="C5" s="47" t="s">
        <v>4</v>
      </c>
      <c r="D5" s="47" t="s">
        <v>5</v>
      </c>
      <c r="E5" s="47" t="s">
        <v>6</v>
      </c>
      <c r="F5" s="47"/>
      <c r="G5" s="47" t="s">
        <v>7</v>
      </c>
      <c r="H5" s="47" t="s">
        <v>8</v>
      </c>
      <c r="I5" s="3"/>
    </row>
    <row r="6" spans="1:18" s="8" customFormat="1" ht="30" customHeight="1" x14ac:dyDescent="0.3">
      <c r="A6" s="70" t="s">
        <v>9</v>
      </c>
      <c r="B6" s="71"/>
      <c r="C6" s="4">
        <f>'[1]BP FEVRIER    '!C57</f>
        <v>4590</v>
      </c>
      <c r="D6" s="4"/>
      <c r="E6" s="5">
        <v>3.4500000000000003E-2</v>
      </c>
      <c r="F6" s="5"/>
      <c r="G6" s="4"/>
      <c r="H6" s="4">
        <f>ROUND(C6*E6,2)</f>
        <v>158.36000000000001</v>
      </c>
      <c r="I6" s="6"/>
      <c r="J6" s="72"/>
      <c r="K6" s="72"/>
      <c r="N6" s="73"/>
      <c r="O6" s="73"/>
      <c r="Q6" s="10"/>
      <c r="R6" s="11"/>
    </row>
    <row r="7" spans="1:18" s="8" customFormat="1" ht="14.4" x14ac:dyDescent="0.3">
      <c r="A7" s="12"/>
      <c r="B7" s="13"/>
      <c r="C7" s="4">
        <f>IF(C6&gt;3.5*L3*35*52/12,C6,0)</f>
        <v>4590</v>
      </c>
      <c r="D7" s="4"/>
      <c r="E7" s="14">
        <v>1.7999999999999999E-2</v>
      </c>
      <c r="F7" s="14"/>
      <c r="G7" s="4"/>
      <c r="H7" s="4">
        <f>ROUND(C7*E7,2)</f>
        <v>82.62</v>
      </c>
      <c r="I7" s="6"/>
      <c r="J7" s="15"/>
      <c r="K7" s="7"/>
      <c r="N7" s="9"/>
      <c r="O7" s="9"/>
      <c r="Q7" s="10"/>
      <c r="R7" s="11"/>
    </row>
    <row r="8" spans="1:18" s="8" customFormat="1" ht="14.4" x14ac:dyDescent="0.3">
      <c r="A8" s="16"/>
      <c r="B8" s="64" t="s">
        <v>74</v>
      </c>
      <c r="C8" s="17"/>
      <c r="D8" s="17"/>
      <c r="E8" s="17"/>
      <c r="F8" s="17"/>
      <c r="G8" s="17"/>
      <c r="H8" s="17"/>
      <c r="I8" s="6"/>
      <c r="J8" s="15"/>
      <c r="K8" s="7"/>
      <c r="N8" s="9"/>
      <c r="O8" s="9"/>
      <c r="Q8" s="10"/>
      <c r="R8" s="11"/>
    </row>
    <row r="9" spans="1:18" x14ac:dyDescent="0.25">
      <c r="B9" s="1" t="s">
        <v>10</v>
      </c>
    </row>
    <row r="10" spans="1:18" x14ac:dyDescent="0.25">
      <c r="B10" s="1" t="s">
        <v>88</v>
      </c>
    </row>
    <row r="11" spans="1:18" x14ac:dyDescent="0.25">
      <c r="B11" s="1" t="s">
        <v>87</v>
      </c>
    </row>
    <row r="12" spans="1:18" x14ac:dyDescent="0.25">
      <c r="B12" s="1" t="s">
        <v>11</v>
      </c>
    </row>
    <row r="13" spans="1:18" x14ac:dyDescent="0.25">
      <c r="C13" s="1" t="s">
        <v>12</v>
      </c>
    </row>
    <row r="14" spans="1:18" x14ac:dyDescent="0.25">
      <c r="C14" s="1" t="s">
        <v>13</v>
      </c>
    </row>
    <row r="15" spans="1:18" x14ac:dyDescent="0.25">
      <c r="D15" s="1" t="s">
        <v>14</v>
      </c>
    </row>
    <row r="16" spans="1:18" x14ac:dyDescent="0.25">
      <c r="E16" s="1" t="s">
        <v>15</v>
      </c>
    </row>
    <row r="17" spans="1:16" x14ac:dyDescent="0.25">
      <c r="D17" s="1" t="s">
        <v>16</v>
      </c>
    </row>
    <row r="18" spans="1:16" x14ac:dyDescent="0.25">
      <c r="B18" s="1" t="s">
        <v>91</v>
      </c>
    </row>
    <row r="19" spans="1:16" x14ac:dyDescent="0.25">
      <c r="B19" s="1" t="s">
        <v>90</v>
      </c>
    </row>
    <row r="20" spans="1:16" x14ac:dyDescent="0.25">
      <c r="A20" s="19" t="s">
        <v>17</v>
      </c>
      <c r="B20" s="19" t="s">
        <v>18</v>
      </c>
      <c r="C20" s="19" t="s">
        <v>59</v>
      </c>
      <c r="D20" s="19" t="s">
        <v>20</v>
      </c>
      <c r="E20" s="19" t="s">
        <v>21</v>
      </c>
      <c r="F20" s="19" t="s">
        <v>22</v>
      </c>
      <c r="G20" s="19" t="s">
        <v>23</v>
      </c>
      <c r="H20" s="19" t="s">
        <v>24</v>
      </c>
      <c r="I20" s="19" t="s">
        <v>25</v>
      </c>
      <c r="J20" s="19" t="s">
        <v>26</v>
      </c>
      <c r="K20" s="19" t="s">
        <v>27</v>
      </c>
      <c r="L20" s="19" t="s">
        <v>28</v>
      </c>
      <c r="M20" s="19" t="s">
        <v>29</v>
      </c>
      <c r="N20" s="19" t="s">
        <v>30</v>
      </c>
      <c r="O20" s="19">
        <v>0</v>
      </c>
    </row>
    <row r="21" spans="1:16" x14ac:dyDescent="0.25">
      <c r="A21" s="18" t="s">
        <v>2</v>
      </c>
      <c r="B21" s="41">
        <v>11.52</v>
      </c>
      <c r="C21" s="20"/>
      <c r="D21" s="20"/>
      <c r="P21" s="39">
        <v>21</v>
      </c>
    </row>
    <row r="22" spans="1:16" x14ac:dyDescent="0.25">
      <c r="A22" s="18" t="s">
        <v>31</v>
      </c>
      <c r="B22" s="42">
        <v>11.52</v>
      </c>
      <c r="C22" s="20"/>
      <c r="D22" s="20"/>
      <c r="P22" s="39">
        <v>22</v>
      </c>
    </row>
    <row r="23" spans="1:16" ht="28.5" customHeight="1" x14ac:dyDescent="0.25">
      <c r="C23" s="74" t="s">
        <v>60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  <c r="O23" s="74"/>
      <c r="P23" s="39">
        <v>23</v>
      </c>
    </row>
    <row r="24" spans="1:16" ht="30.75" customHeight="1" x14ac:dyDescent="0.25">
      <c r="I24" s="65" t="s">
        <v>33</v>
      </c>
      <c r="J24" s="66"/>
      <c r="K24" s="66"/>
      <c r="L24" s="66"/>
      <c r="M24" s="66"/>
      <c r="N24" s="66"/>
      <c r="O24" s="66"/>
      <c r="P24" s="39">
        <v>24</v>
      </c>
    </row>
    <row r="25" spans="1:16" ht="41.4" x14ac:dyDescent="0.25">
      <c r="B25" s="21" t="s">
        <v>34</v>
      </c>
      <c r="C25" s="21" t="s">
        <v>35</v>
      </c>
      <c r="D25" s="21" t="s">
        <v>36</v>
      </c>
      <c r="E25" s="22" t="s">
        <v>37</v>
      </c>
      <c r="F25" s="22" t="s">
        <v>82</v>
      </c>
      <c r="G25" s="22" t="s">
        <v>75</v>
      </c>
      <c r="H25" s="21" t="s">
        <v>39</v>
      </c>
      <c r="I25" s="23" t="s">
        <v>40</v>
      </c>
      <c r="J25" s="21" t="s">
        <v>42</v>
      </c>
      <c r="K25" s="23" t="s">
        <v>41</v>
      </c>
      <c r="L25" s="21" t="s">
        <v>44</v>
      </c>
      <c r="M25" s="21" t="s">
        <v>43</v>
      </c>
      <c r="N25" s="32" t="s">
        <v>46</v>
      </c>
      <c r="O25" s="21" t="s">
        <v>45</v>
      </c>
      <c r="P25" s="39">
        <v>25</v>
      </c>
    </row>
    <row r="26" spans="1:16" ht="26.25" customHeight="1" x14ac:dyDescent="0.25">
      <c r="A26" s="24" t="s">
        <v>47</v>
      </c>
      <c r="B26" s="31">
        <v>7000</v>
      </c>
      <c r="C26" s="31">
        <v>159.66999999999999</v>
      </c>
      <c r="D26" s="24">
        <f>C26</f>
        <v>159.66999999999999</v>
      </c>
      <c r="E26" s="25">
        <f>B26</f>
        <v>7000</v>
      </c>
      <c r="F26" s="25">
        <f>3.3*$B$21*C26</f>
        <v>6070.0147199999992</v>
      </c>
      <c r="G26" s="25">
        <f>3.3*D26*$B$21</f>
        <v>6070.0147199999992</v>
      </c>
      <c r="H26" s="24">
        <f t="shared" ref="H26:H37" si="0">B26</f>
        <v>7000</v>
      </c>
      <c r="I26" s="24" t="str">
        <f>IF(B26&lt;=F26,"Non","Oui")</f>
        <v>Oui</v>
      </c>
      <c r="J26" s="25">
        <f>IF(B26&gt;F26,B26,0)</f>
        <v>7000</v>
      </c>
      <c r="K26" s="25">
        <f>J26</f>
        <v>7000</v>
      </c>
      <c r="L26" s="40">
        <f>J26*1.8%</f>
        <v>126.00000000000001</v>
      </c>
      <c r="M26" s="25">
        <f>+L26</f>
        <v>126.00000000000001</v>
      </c>
      <c r="N26" s="33">
        <f>IF(B26&gt;F26,0,B26*1.8%)</f>
        <v>0</v>
      </c>
      <c r="O26" s="24">
        <f>N26</f>
        <v>0</v>
      </c>
      <c r="P26" s="39">
        <v>26</v>
      </c>
    </row>
    <row r="27" spans="1:16" ht="26.25" customHeight="1" x14ac:dyDescent="0.25">
      <c r="A27" s="24" t="s">
        <v>48</v>
      </c>
      <c r="B27" s="31">
        <v>5000</v>
      </c>
      <c r="C27" s="31">
        <v>151.66999999999999</v>
      </c>
      <c r="D27" s="24">
        <f>D26+C27</f>
        <v>311.33999999999997</v>
      </c>
      <c r="E27" s="25">
        <f>E26+B27</f>
        <v>12000</v>
      </c>
      <c r="F27" s="25">
        <f>3.3*$B$21*C27</f>
        <v>5765.8867199999995</v>
      </c>
      <c r="G27" s="25">
        <f t="shared" ref="G27:G37" si="1">3.3*D27*$B$21</f>
        <v>11835.901439999998</v>
      </c>
      <c r="H27" s="24">
        <f t="shared" si="0"/>
        <v>5000</v>
      </c>
      <c r="I27" s="24" t="str">
        <f t="shared" ref="I27:I36" si="2">IF(B27&lt;=F27,"Non","Oui")</f>
        <v>Non</v>
      </c>
      <c r="J27" s="25">
        <f>IF(B27&gt;F27,B27,0)</f>
        <v>0</v>
      </c>
      <c r="K27" s="25">
        <f>J27+K26</f>
        <v>7000</v>
      </c>
      <c r="L27" s="40">
        <f>J27*1.8%</f>
        <v>0</v>
      </c>
      <c r="M27" s="25">
        <f>+M26+L27</f>
        <v>126.00000000000001</v>
      </c>
      <c r="N27" s="33">
        <f>IF(B27&gt;F27,0,B27*1.8%)</f>
        <v>90.000000000000014</v>
      </c>
      <c r="O27" s="24">
        <f>O26+N27</f>
        <v>90.000000000000014</v>
      </c>
      <c r="P27" s="39">
        <v>27</v>
      </c>
    </row>
    <row r="28" spans="1:16" ht="26.25" customHeight="1" x14ac:dyDescent="0.25">
      <c r="A28" s="24" t="s">
        <v>49</v>
      </c>
      <c r="B28" s="31">
        <v>6000</v>
      </c>
      <c r="C28" s="31">
        <v>151.66999999999999</v>
      </c>
      <c r="D28" s="24">
        <f t="shared" ref="D28:D37" si="3">D27+C28</f>
        <v>463.01</v>
      </c>
      <c r="E28" s="25">
        <f t="shared" ref="E28:E37" si="4">E27+B28</f>
        <v>18000</v>
      </c>
      <c r="F28" s="25">
        <f t="shared" ref="F28:F37" si="5">3.3*$B$21*C28</f>
        <v>5765.8867199999995</v>
      </c>
      <c r="G28" s="25">
        <f t="shared" si="1"/>
        <v>17601.78816</v>
      </c>
      <c r="H28" s="24">
        <f t="shared" si="0"/>
        <v>6000</v>
      </c>
      <c r="I28" s="24" t="str">
        <f t="shared" si="2"/>
        <v>Oui</v>
      </c>
      <c r="J28" s="25">
        <f t="shared" ref="J28:J36" si="6">IF(B28&gt;F28,B28,0)</f>
        <v>6000</v>
      </c>
      <c r="K28" s="25">
        <f t="shared" ref="K28:K37" si="7">J28+K27</f>
        <v>13000</v>
      </c>
      <c r="L28" s="40">
        <f t="shared" ref="L28:L36" si="8">J28*1.8%</f>
        <v>108.00000000000001</v>
      </c>
      <c r="M28" s="25">
        <f t="shared" ref="M28:M36" si="9">+M27+L28</f>
        <v>234.00000000000003</v>
      </c>
      <c r="N28" s="33">
        <f t="shared" ref="N28:N36" si="10">IF(B28&gt;F28,0,B28*1.8%)</f>
        <v>0</v>
      </c>
      <c r="O28" s="24">
        <f t="shared" ref="O28:O37" si="11">O27+N28</f>
        <v>90.000000000000014</v>
      </c>
      <c r="P28" s="39">
        <v>28</v>
      </c>
    </row>
    <row r="29" spans="1:16" ht="26.25" customHeight="1" x14ac:dyDescent="0.25">
      <c r="A29" s="24" t="s">
        <v>50</v>
      </c>
      <c r="B29" s="31">
        <v>7000</v>
      </c>
      <c r="C29" s="31">
        <v>151.66999999999999</v>
      </c>
      <c r="D29" s="24">
        <f t="shared" si="3"/>
        <v>614.67999999999995</v>
      </c>
      <c r="E29" s="25">
        <f t="shared" si="4"/>
        <v>25000</v>
      </c>
      <c r="F29" s="25">
        <f t="shared" si="5"/>
        <v>5765.8867199999995</v>
      </c>
      <c r="G29" s="25">
        <f t="shared" si="1"/>
        <v>23367.674879999995</v>
      </c>
      <c r="H29" s="24">
        <f t="shared" si="0"/>
        <v>7000</v>
      </c>
      <c r="I29" s="24" t="str">
        <f t="shared" si="2"/>
        <v>Oui</v>
      </c>
      <c r="J29" s="25">
        <f t="shared" si="6"/>
        <v>7000</v>
      </c>
      <c r="K29" s="25">
        <f t="shared" si="7"/>
        <v>20000</v>
      </c>
      <c r="L29" s="40">
        <f t="shared" si="8"/>
        <v>126.00000000000001</v>
      </c>
      <c r="M29" s="25">
        <f t="shared" si="9"/>
        <v>360.00000000000006</v>
      </c>
      <c r="N29" s="33">
        <f t="shared" si="10"/>
        <v>0</v>
      </c>
      <c r="O29" s="24">
        <f t="shared" si="11"/>
        <v>90.000000000000014</v>
      </c>
      <c r="P29" s="39">
        <v>29</v>
      </c>
    </row>
    <row r="30" spans="1:16" ht="26.25" customHeight="1" x14ac:dyDescent="0.25">
      <c r="A30" s="24" t="s">
        <v>51</v>
      </c>
      <c r="B30" s="31">
        <v>3000</v>
      </c>
      <c r="C30" s="31">
        <v>151.66999999999999</v>
      </c>
      <c r="D30" s="24">
        <f t="shared" si="3"/>
        <v>766.34999999999991</v>
      </c>
      <c r="E30" s="25">
        <f t="shared" si="4"/>
        <v>28000</v>
      </c>
      <c r="F30" s="25">
        <f t="shared" si="5"/>
        <v>5765.8867199999995</v>
      </c>
      <c r="G30" s="25">
        <f t="shared" si="1"/>
        <v>29133.561599999994</v>
      </c>
      <c r="H30" s="24">
        <f t="shared" si="0"/>
        <v>3000</v>
      </c>
      <c r="I30" s="24" t="str">
        <f t="shared" si="2"/>
        <v>Non</v>
      </c>
      <c r="J30" s="25">
        <f t="shared" si="6"/>
        <v>0</v>
      </c>
      <c r="K30" s="25">
        <f t="shared" si="7"/>
        <v>20000</v>
      </c>
      <c r="L30" s="40">
        <f t="shared" si="8"/>
        <v>0</v>
      </c>
      <c r="M30" s="25">
        <f t="shared" si="9"/>
        <v>360.00000000000006</v>
      </c>
      <c r="N30" s="33">
        <f t="shared" si="10"/>
        <v>54.000000000000007</v>
      </c>
      <c r="O30" s="24">
        <f t="shared" si="11"/>
        <v>144.00000000000003</v>
      </c>
      <c r="P30" s="39">
        <v>30</v>
      </c>
    </row>
    <row r="31" spans="1:16" ht="26.25" customHeight="1" x14ac:dyDescent="0.25">
      <c r="A31" s="24" t="s">
        <v>52</v>
      </c>
      <c r="B31" s="31">
        <v>7000</v>
      </c>
      <c r="C31" s="31">
        <v>151.66999999999999</v>
      </c>
      <c r="D31" s="24">
        <f t="shared" si="3"/>
        <v>918.01999999999987</v>
      </c>
      <c r="E31" s="25">
        <f t="shared" si="4"/>
        <v>35000</v>
      </c>
      <c r="F31" s="25">
        <f t="shared" si="5"/>
        <v>5765.8867199999995</v>
      </c>
      <c r="G31" s="25">
        <f t="shared" si="1"/>
        <v>34899.448319999996</v>
      </c>
      <c r="H31" s="24">
        <f t="shared" si="0"/>
        <v>7000</v>
      </c>
      <c r="I31" s="24" t="str">
        <f t="shared" si="2"/>
        <v>Oui</v>
      </c>
      <c r="J31" s="25">
        <f t="shared" si="6"/>
        <v>7000</v>
      </c>
      <c r="K31" s="25">
        <f t="shared" si="7"/>
        <v>27000</v>
      </c>
      <c r="L31" s="40">
        <f t="shared" si="8"/>
        <v>126.00000000000001</v>
      </c>
      <c r="M31" s="25">
        <f t="shared" si="9"/>
        <v>486.00000000000006</v>
      </c>
      <c r="N31" s="33">
        <f t="shared" si="10"/>
        <v>0</v>
      </c>
      <c r="O31" s="24">
        <f t="shared" si="11"/>
        <v>144.00000000000003</v>
      </c>
      <c r="P31" s="39">
        <v>31</v>
      </c>
    </row>
    <row r="32" spans="1:16" ht="26.25" customHeight="1" x14ac:dyDescent="0.25">
      <c r="A32" s="24" t="s">
        <v>53</v>
      </c>
      <c r="B32" s="31">
        <v>7000</v>
      </c>
      <c r="C32" s="31">
        <v>151.66999999999999</v>
      </c>
      <c r="D32" s="24">
        <f t="shared" si="3"/>
        <v>1069.6899999999998</v>
      </c>
      <c r="E32" s="25">
        <f t="shared" si="4"/>
        <v>42000</v>
      </c>
      <c r="F32" s="25">
        <f t="shared" si="5"/>
        <v>5765.8867199999995</v>
      </c>
      <c r="G32" s="25">
        <f t="shared" si="1"/>
        <v>40665.335039999991</v>
      </c>
      <c r="H32" s="24">
        <f t="shared" si="0"/>
        <v>7000</v>
      </c>
      <c r="I32" s="24" t="str">
        <f t="shared" si="2"/>
        <v>Oui</v>
      </c>
      <c r="J32" s="25">
        <f t="shared" si="6"/>
        <v>7000</v>
      </c>
      <c r="K32" s="25">
        <f t="shared" si="7"/>
        <v>34000</v>
      </c>
      <c r="L32" s="40">
        <f t="shared" si="8"/>
        <v>126.00000000000001</v>
      </c>
      <c r="M32" s="25">
        <f t="shared" si="9"/>
        <v>612.00000000000011</v>
      </c>
      <c r="N32" s="33">
        <f t="shared" si="10"/>
        <v>0</v>
      </c>
      <c r="O32" s="24">
        <f t="shared" si="11"/>
        <v>144.00000000000003</v>
      </c>
      <c r="P32" s="39">
        <v>32</v>
      </c>
    </row>
    <row r="33" spans="1:16" ht="26.25" customHeight="1" x14ac:dyDescent="0.25">
      <c r="A33" s="24" t="s">
        <v>54</v>
      </c>
      <c r="B33" s="31">
        <v>7000</v>
      </c>
      <c r="C33" s="31">
        <v>151.66999999999999</v>
      </c>
      <c r="D33" s="24">
        <f t="shared" si="3"/>
        <v>1221.3599999999999</v>
      </c>
      <c r="E33" s="25">
        <f t="shared" si="4"/>
        <v>49000</v>
      </c>
      <c r="F33" s="25">
        <f t="shared" si="5"/>
        <v>5765.8867199999995</v>
      </c>
      <c r="G33" s="25">
        <f t="shared" si="1"/>
        <v>46431.221759999993</v>
      </c>
      <c r="H33" s="24">
        <f t="shared" si="0"/>
        <v>7000</v>
      </c>
      <c r="I33" s="24" t="str">
        <f t="shared" si="2"/>
        <v>Oui</v>
      </c>
      <c r="J33" s="25">
        <f t="shared" si="6"/>
        <v>7000</v>
      </c>
      <c r="K33" s="25">
        <f t="shared" si="7"/>
        <v>41000</v>
      </c>
      <c r="L33" s="40">
        <f t="shared" si="8"/>
        <v>126.00000000000001</v>
      </c>
      <c r="M33" s="25">
        <f t="shared" si="9"/>
        <v>738.00000000000011</v>
      </c>
      <c r="N33" s="33">
        <f t="shared" si="10"/>
        <v>0</v>
      </c>
      <c r="O33" s="24">
        <f t="shared" si="11"/>
        <v>144.00000000000003</v>
      </c>
      <c r="P33" s="39">
        <v>33</v>
      </c>
    </row>
    <row r="34" spans="1:16" ht="26.25" customHeight="1" x14ac:dyDescent="0.25">
      <c r="A34" s="24" t="s">
        <v>55</v>
      </c>
      <c r="B34" s="31">
        <v>7000</v>
      </c>
      <c r="C34" s="31">
        <v>151.66999999999999</v>
      </c>
      <c r="D34" s="24">
        <f t="shared" si="3"/>
        <v>1373.03</v>
      </c>
      <c r="E34" s="25">
        <f t="shared" si="4"/>
        <v>56000</v>
      </c>
      <c r="F34" s="25">
        <f t="shared" si="5"/>
        <v>5765.8867199999995</v>
      </c>
      <c r="G34" s="25">
        <f t="shared" si="1"/>
        <v>52197.108479999995</v>
      </c>
      <c r="H34" s="24">
        <f t="shared" si="0"/>
        <v>7000</v>
      </c>
      <c r="I34" s="24" t="str">
        <f t="shared" si="2"/>
        <v>Oui</v>
      </c>
      <c r="J34" s="25">
        <f t="shared" si="6"/>
        <v>7000</v>
      </c>
      <c r="K34" s="25">
        <f t="shared" si="7"/>
        <v>48000</v>
      </c>
      <c r="L34" s="40">
        <f t="shared" si="8"/>
        <v>126.00000000000001</v>
      </c>
      <c r="M34" s="25">
        <f t="shared" si="9"/>
        <v>864.00000000000011</v>
      </c>
      <c r="N34" s="33">
        <f t="shared" si="10"/>
        <v>0</v>
      </c>
      <c r="O34" s="24">
        <f t="shared" si="11"/>
        <v>144.00000000000003</v>
      </c>
      <c r="P34" s="39">
        <v>34</v>
      </c>
    </row>
    <row r="35" spans="1:16" ht="26.25" customHeight="1" x14ac:dyDescent="0.25">
      <c r="A35" s="24" t="s">
        <v>56</v>
      </c>
      <c r="B35" s="31">
        <v>7000</v>
      </c>
      <c r="C35" s="31">
        <v>151.66999999999999</v>
      </c>
      <c r="D35" s="24">
        <f t="shared" si="3"/>
        <v>1524.7</v>
      </c>
      <c r="E35" s="25">
        <f t="shared" si="4"/>
        <v>63000</v>
      </c>
      <c r="F35" s="25">
        <f t="shared" si="5"/>
        <v>5765.8867199999995</v>
      </c>
      <c r="G35" s="25">
        <f t="shared" si="1"/>
        <v>57962.995199999998</v>
      </c>
      <c r="H35" s="24">
        <f t="shared" si="0"/>
        <v>7000</v>
      </c>
      <c r="I35" s="24" t="str">
        <f t="shared" si="2"/>
        <v>Oui</v>
      </c>
      <c r="J35" s="25">
        <f t="shared" si="6"/>
        <v>7000</v>
      </c>
      <c r="K35" s="25">
        <f t="shared" si="7"/>
        <v>55000</v>
      </c>
      <c r="L35" s="40">
        <f t="shared" si="8"/>
        <v>126.00000000000001</v>
      </c>
      <c r="M35" s="25">
        <f t="shared" si="9"/>
        <v>990.00000000000011</v>
      </c>
      <c r="N35" s="33">
        <f t="shared" si="10"/>
        <v>0</v>
      </c>
      <c r="O35" s="24">
        <f t="shared" si="11"/>
        <v>144.00000000000003</v>
      </c>
      <c r="P35" s="39">
        <v>35</v>
      </c>
    </row>
    <row r="36" spans="1:16" ht="26.25" customHeight="1" x14ac:dyDescent="0.25">
      <c r="A36" s="24" t="s">
        <v>57</v>
      </c>
      <c r="B36" s="31">
        <v>7000</v>
      </c>
      <c r="C36" s="31">
        <v>151.66999999999999</v>
      </c>
      <c r="D36" s="24">
        <f t="shared" si="3"/>
        <v>1676.3700000000001</v>
      </c>
      <c r="E36" s="25">
        <f t="shared" si="4"/>
        <v>70000</v>
      </c>
      <c r="F36" s="25">
        <f t="shared" si="5"/>
        <v>5765.8867199999995</v>
      </c>
      <c r="G36" s="25">
        <f t="shared" si="1"/>
        <v>63728.881919999993</v>
      </c>
      <c r="H36" s="24">
        <f t="shared" si="0"/>
        <v>7000</v>
      </c>
      <c r="I36" s="24" t="str">
        <f t="shared" si="2"/>
        <v>Oui</v>
      </c>
      <c r="J36" s="63">
        <f t="shared" si="6"/>
        <v>7000</v>
      </c>
      <c r="K36" s="25">
        <f t="shared" si="7"/>
        <v>62000</v>
      </c>
      <c r="L36" s="40">
        <f t="shared" si="8"/>
        <v>126.00000000000001</v>
      </c>
      <c r="M36" s="25">
        <f t="shared" si="9"/>
        <v>1116.0000000000002</v>
      </c>
      <c r="N36" s="33">
        <f t="shared" si="10"/>
        <v>0</v>
      </c>
      <c r="O36" s="24">
        <f>O35+N36</f>
        <v>144.00000000000003</v>
      </c>
      <c r="P36" s="39">
        <v>36</v>
      </c>
    </row>
    <row r="37" spans="1:16" ht="26.25" customHeight="1" x14ac:dyDescent="0.25">
      <c r="A37" s="24" t="s">
        <v>58</v>
      </c>
      <c r="B37" s="31">
        <v>2000</v>
      </c>
      <c r="C37" s="31">
        <v>151.66999999999999</v>
      </c>
      <c r="D37" s="24">
        <f t="shared" si="3"/>
        <v>1828.0400000000002</v>
      </c>
      <c r="E37" s="25">
        <f t="shared" si="4"/>
        <v>72000</v>
      </c>
      <c r="F37" s="25">
        <f t="shared" si="5"/>
        <v>5765.8867199999995</v>
      </c>
      <c r="G37" s="25">
        <f t="shared" si="1"/>
        <v>69494.768639999995</v>
      </c>
      <c r="H37" s="24">
        <f t="shared" si="0"/>
        <v>2000</v>
      </c>
      <c r="I37" s="24" t="str">
        <f>IF(E37&lt;=G37,"Non","Oui")</f>
        <v>Oui</v>
      </c>
      <c r="J37" s="46">
        <f>IF(E37&gt;G37,E37-K36,0-K36)</f>
        <v>10000</v>
      </c>
      <c r="K37" s="25">
        <f t="shared" si="7"/>
        <v>72000</v>
      </c>
      <c r="L37" s="43">
        <f>J37*1.8%</f>
        <v>180.00000000000003</v>
      </c>
      <c r="M37" s="43">
        <f>K37*1.8%</f>
        <v>1296.0000000000002</v>
      </c>
      <c r="N37" s="44">
        <f>IF(E37&lt;G37,E37*1.8%-O36,-O36)</f>
        <v>-144.00000000000003</v>
      </c>
      <c r="O37" s="45">
        <f t="shared" si="11"/>
        <v>0</v>
      </c>
      <c r="P37" s="39">
        <v>37</v>
      </c>
    </row>
    <row r="38" spans="1:16" x14ac:dyDescent="0.25">
      <c r="B38" s="62">
        <f>SUM(B26:B37)</f>
        <v>72000</v>
      </c>
    </row>
    <row r="39" spans="1:16" x14ac:dyDescent="0.25">
      <c r="E39" s="30"/>
    </row>
    <row r="40" spans="1:16" x14ac:dyDescent="0.25">
      <c r="J40" s="1" t="s">
        <v>89</v>
      </c>
    </row>
    <row r="42" spans="1:16" x14ac:dyDescent="0.25">
      <c r="B42" s="30"/>
      <c r="C42" s="30"/>
      <c r="D42" s="30"/>
    </row>
    <row r="43" spans="1:16" x14ac:dyDescent="0.25">
      <c r="B43" s="30"/>
      <c r="C43" s="30"/>
      <c r="D43" s="30"/>
    </row>
    <row r="44" spans="1:16" x14ac:dyDescent="0.25">
      <c r="B44" s="30"/>
      <c r="C44" s="30"/>
      <c r="D44" s="30"/>
    </row>
    <row r="45" spans="1:16" x14ac:dyDescent="0.25">
      <c r="B45" s="30"/>
      <c r="C45" s="30"/>
      <c r="D45" s="30"/>
    </row>
  </sheetData>
  <mergeCells count="7">
    <mergeCell ref="I24:O24"/>
    <mergeCell ref="A1:N1"/>
    <mergeCell ref="A5:B5"/>
    <mergeCell ref="A6:B6"/>
    <mergeCell ref="J6:K6"/>
    <mergeCell ref="N6:O6"/>
    <mergeCell ref="C23:O23"/>
  </mergeCells>
  <phoneticPr fontId="15" type="noConversion"/>
  <pageMargins left="0.11811023622047245" right="0.11811023622047245" top="0.15748031496062992" bottom="0.15748031496062992" header="0.31496062992125984" footer="0.31496062992125984"/>
  <pageSetup paperSize="9" scale="75" orientation="landscape" horizontalDpi="4294967293" verticalDpi="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TRAME A BLANC </vt:lpstr>
      <vt:lpstr>LEGISLATION </vt:lpstr>
      <vt:lpstr>TRAME 1 </vt:lpstr>
      <vt:lpstr>TRAME 2</vt:lpstr>
      <vt:lpstr>TRAME 3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Bienvenue</dc:creator>
  <cp:keywords/>
  <dc:description/>
  <cp:lastModifiedBy>jacques LE CHEVANTON</cp:lastModifiedBy>
  <cp:revision/>
  <cp:lastPrinted>2025-04-02T12:45:04Z</cp:lastPrinted>
  <dcterms:created xsi:type="dcterms:W3CDTF">2024-01-24T13:35:20Z</dcterms:created>
  <dcterms:modified xsi:type="dcterms:W3CDTF">2025-04-03T02:38:51Z</dcterms:modified>
  <cp:category/>
  <cp:contentStatus/>
</cp:coreProperties>
</file>