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a77d33fea66a78b/Desktop/EXCEL POUR LA PAIE 2024/TELECHARGEMENTS 2024/TOME 1/CHAPITRES 1 6  - 17/2024/"/>
    </mc:Choice>
  </mc:AlternateContent>
  <xr:revisionPtr revIDLastSave="1" documentId="8_{35D7AF13-0131-48A0-B5C5-F6994CC40227}" xr6:coauthVersionLast="47" xr6:coauthVersionMax="47" xr10:uidLastSave="{CCD3D8EF-530C-4B1B-ACAB-54D697C59993}"/>
  <bookViews>
    <workbookView xWindow="-108" yWindow="-108" windowWidth="23256" windowHeight="12456" activeTab="1" xr2:uid="{08FD47CC-1C37-4B25-A259-FC4870E72393}"/>
  </bookViews>
  <sheets>
    <sheet name="TRAME  1" sheetId="3" r:id="rId1"/>
    <sheet name="TRAME 2 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0" i="1" l="1"/>
  <c r="D33" i="1"/>
  <c r="D37" i="3"/>
  <c r="D19" i="1"/>
  <c r="D17" i="3"/>
  <c r="D11" i="3"/>
  <c r="D13" i="3" s="1"/>
  <c r="D15" i="3" s="1"/>
  <c r="D18" i="3" s="1"/>
  <c r="D21" i="3" s="1"/>
  <c r="D31" i="1"/>
  <c r="D9" i="1"/>
  <c r="D11" i="1" s="1"/>
  <c r="D13" i="1" s="1"/>
  <c r="D20" i="3" l="1"/>
  <c r="D33" i="3"/>
  <c r="D32" i="3"/>
  <c r="D34" i="3" s="1"/>
  <c r="D36" i="3" s="1"/>
  <c r="D29" i="1"/>
  <c r="D17" i="1"/>
  <c r="D28" i="1" s="1"/>
  <c r="D30" i="1" s="1"/>
  <c r="D32" i="1" s="1"/>
  <c r="D16" i="1"/>
  <c r="D18" i="1" s="1"/>
  <c r="D20" i="1" s="1"/>
  <c r="D22" i="3" l="1"/>
  <c r="D24" i="3" s="1"/>
  <c r="D28" i="3" s="1"/>
  <c r="D41" i="1"/>
  <c r="D24" i="1"/>
  <c r="D22" i="1"/>
  <c r="D21" i="1"/>
  <c r="D26" i="3" l="1"/>
  <c r="D25" i="3"/>
  <c r="D47" i="3"/>
  <c r="D44" i="3"/>
  <c r="D48" i="3" s="1"/>
  <c r="D27" i="3"/>
  <c r="D29" i="3"/>
  <c r="D30" i="3" s="1"/>
  <c r="D41" i="3"/>
  <c r="D38" i="3"/>
  <c r="D39" i="3"/>
  <c r="D23" i="1"/>
  <c r="D25" i="1"/>
  <c r="D26" i="1" s="1"/>
  <c r="D37" i="1"/>
  <c r="D35" i="1"/>
  <c r="D34" i="1"/>
  <c r="D46" i="3" l="1"/>
  <c r="D45" i="3"/>
  <c r="D49" i="3" s="1"/>
  <c r="D50" i="3" s="1"/>
  <c r="D40" i="3"/>
  <c r="D42" i="3"/>
  <c r="D43" i="3" s="1"/>
  <c r="D51" i="3" s="1"/>
  <c r="D36" i="1"/>
  <c r="D38" i="1"/>
  <c r="D39" i="1" s="1"/>
  <c r="D4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C6" authorId="0" shapeId="0" xr:uid="{FC1EDABC-58CB-4BCB-BA05-733BE5D085A1}">
      <text>
        <r>
          <rPr>
            <sz val="9"/>
            <color indexed="81"/>
            <rFont val="Tahoma"/>
            <family val="2"/>
          </rPr>
          <t>Prendre les primes mensuelles liées à l'activité du salarié
ainsi que la prime d'ancienneté, les AN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C4" authorId="0" shapeId="0" xr:uid="{324A1007-08D0-49AD-8138-B6B5A548268C}">
      <text>
        <r>
          <rPr>
            <sz val="9"/>
            <color indexed="81"/>
            <rFont val="Tahoma"/>
            <family val="2"/>
          </rPr>
          <t>Prendre les primes mensuelles liées à l'activité du salarié
ainsi que la prime d'ancienneté, les AN</t>
        </r>
      </text>
    </comment>
  </commentList>
</comments>
</file>

<file path=xl/sharedStrings.xml><?xml version="1.0" encoding="utf-8"?>
<sst xmlns="http://schemas.openxmlformats.org/spreadsheetml/2006/main" count="99" uniqueCount="50">
  <si>
    <t>PMSS</t>
  </si>
  <si>
    <t>A</t>
  </si>
  <si>
    <t xml:space="preserve">Salaire de référence :  Brut soumis à cotisations  du mois précédant l'arrêt de travail  HORS PRIMES A PERIODICITE DIFFERENTE DU MOIS </t>
  </si>
  <si>
    <t>B</t>
  </si>
  <si>
    <t xml:space="preserve">LISSAGE PRIME ( ex : 1000/12) </t>
  </si>
  <si>
    <t>C</t>
  </si>
  <si>
    <t>D</t>
  </si>
  <si>
    <t xml:space="preserve">SJR </t>
  </si>
  <si>
    <t>E</t>
  </si>
  <si>
    <t xml:space="preserve">ACCIDENT DU TRAVAIL, ACCIDENT DE TRAJET  et  MALADIE PROFESSIONNELLE </t>
  </si>
  <si>
    <t xml:space="preserve">Montant Prime </t>
  </si>
  <si>
    <t xml:space="preserve"> A + D </t>
  </si>
  <si>
    <t xml:space="preserve">SALAIRE JOURNALIER DE REFRENCE  ( E / 30,42 ) </t>
  </si>
  <si>
    <t xml:space="preserve">28 premiers jours </t>
  </si>
  <si>
    <t xml:space="preserve">SJR NET </t>
  </si>
  <si>
    <t>GJB 1</t>
  </si>
  <si>
    <t>0,834 % *PASS*60%</t>
  </si>
  <si>
    <t xml:space="preserve">A compter du 29 eme jour </t>
  </si>
  <si>
    <t xml:space="preserve">80 % *SJR BRUT </t>
  </si>
  <si>
    <t>SJR BRUT*60%</t>
  </si>
  <si>
    <t>GJB 2</t>
  </si>
  <si>
    <t xml:space="preserve">IJSS </t>
  </si>
  <si>
    <t xml:space="preserve">IJSS A PRENDRE EN COMPTE </t>
  </si>
  <si>
    <t>0,834 % *PASS*80%</t>
  </si>
  <si>
    <t>CSG déductible à 3,8%</t>
  </si>
  <si>
    <t>CSG / CRDS Non déductible à 2,9 %</t>
  </si>
  <si>
    <t xml:space="preserve">IJSS Nettes </t>
  </si>
  <si>
    <t xml:space="preserve">50 % *IJSS Brutes </t>
  </si>
  <si>
    <t xml:space="preserve">50 % * 3,8 % *IJSS Brutes </t>
  </si>
  <si>
    <t xml:space="preserve">IJSS Nettes à soumettre au PAS </t>
  </si>
  <si>
    <t xml:space="preserve">IJSS Nettes à soumettre au PAS en cas de subrogation par l'employeur </t>
  </si>
  <si>
    <t xml:space="preserve">Nombre de jours calendaires d'arrêt </t>
  </si>
  <si>
    <t xml:space="preserve">PRIME A PERIODICITE DIFFERENTE DU MOIS versée AVANT L'ARRET de TRAVAIL 
Si Pas de Prime                                                      Taper 0 
Si Prime Annuelle                                                Taper 1 
Si Prime Semestrielle                                      Taper 2 
Si prime Prime Trimestrielle                        Taper 3 
si Prime Bimestrielle                                  Taper 4  </t>
  </si>
  <si>
    <t xml:space="preserve">IJSS Brutes totales </t>
  </si>
  <si>
    <t xml:space="preserve">IJSS Nettes totales </t>
  </si>
  <si>
    <t xml:space="preserve">28 Premiers jours </t>
  </si>
  <si>
    <t xml:space="preserve">IJSS Brutes  </t>
  </si>
  <si>
    <t>A compter du 29e Jour</t>
  </si>
  <si>
    <t xml:space="preserve">SJR de référence </t>
  </si>
  <si>
    <t>= Gain Journalier Brut (GJB)</t>
  </si>
  <si>
    <t xml:space="preserve">Gain Journalier Brut (GJB) </t>
  </si>
  <si>
    <t xml:space="preserve">Limite du SJR : 0,834% *PASS </t>
  </si>
  <si>
    <t xml:space="preserve">SJR  de référence NET </t>
  </si>
  <si>
    <t xml:space="preserve">Ce montant ne prend pas en compte le jour de l'accident qui est toujours à la charge de l'employeur </t>
  </si>
  <si>
    <t xml:space="preserve">CSG déductible à 3,8 % </t>
  </si>
  <si>
    <t>CSG CRDS Non déductible 2,9%</t>
  </si>
  <si>
    <t xml:space="preserve">50 % IJSS Brutes </t>
  </si>
  <si>
    <t xml:space="preserve">50 % *3,8%*IJSS Brutes </t>
  </si>
  <si>
    <t xml:space="preserve">IJSS Nettes à soumettre au PAS  </t>
  </si>
  <si>
    <t xml:space="preserve">IJSS Nettes à soumettre au PAS ( pour contrôle)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</si>
</sst>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9"/>
      <color indexed="81"/>
      <name val="Tahoma"/>
      <family val="2"/>
    </font>
    <font>
      <b/>
      <sz val="11"/>
      <color theme="1"/>
      <name val="Times New Roman"/>
      <family val="1"/>
    </font>
    <font>
      <sz val="11"/>
      <name val="Times New Roman"/>
      <family val="1"/>
    </font>
    <font>
      <b/>
      <sz val="11"/>
      <color theme="0"/>
      <name val="Times New Roman"/>
      <family val="1"/>
    </font>
    <font>
      <sz val="11"/>
      <color theme="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/>
    <xf numFmtId="43" fontId="2" fillId="0" borderId="0" xfId="1" applyFont="1" applyAlignment="1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2" borderId="1" xfId="1" applyFont="1" applyFill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3" fontId="2" fillId="0" borderId="0" xfId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43" fontId="2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43" fontId="4" fillId="0" borderId="1" xfId="1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43" fontId="5" fillId="0" borderId="1" xfId="1" quotePrefix="1" applyFont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3" fontId="2" fillId="0" borderId="1" xfId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3" fontId="2" fillId="0" borderId="1" xfId="1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43" fontId="2" fillId="2" borderId="1" xfId="1" applyFont="1" applyFill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3" fontId="2" fillId="0" borderId="0" xfId="1" applyFont="1" applyBorder="1" applyAlignment="1">
      <alignment vertical="center" wrapText="1"/>
    </xf>
    <xf numFmtId="0" fontId="2" fillId="0" borderId="1" xfId="0" applyFont="1" applyBorder="1"/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vertical="center"/>
    </xf>
    <xf numFmtId="0" fontId="6" fillId="4" borderId="1" xfId="0" applyFont="1" applyFill="1" applyBorder="1" applyAlignment="1">
      <alignment horizontal="center" vertical="center"/>
    </xf>
    <xf numFmtId="0" fontId="2" fillId="0" borderId="1" xfId="0" quotePrefix="1" applyFont="1" applyBorder="1" applyAlignment="1">
      <alignment horizontal="center" vertical="center"/>
    </xf>
    <xf numFmtId="164" fontId="2" fillId="2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43" fontId="4" fillId="2" borderId="1" xfId="1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164" fontId="2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43" fontId="7" fillId="4" borderId="1" xfId="1" applyFont="1" applyFill="1" applyBorder="1" applyAlignment="1">
      <alignment horizontal="center" vertical="center"/>
    </xf>
    <xf numFmtId="43" fontId="7" fillId="4" borderId="1" xfId="1" quotePrefix="1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164" fontId="4" fillId="2" borderId="1" xfId="0" quotePrefix="1" applyNumberFormat="1" applyFont="1" applyFill="1" applyBorder="1" applyAlignment="1">
      <alignment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FFE9B-9152-40ED-928E-FE19D1B732C6}">
  <dimension ref="A3:L51"/>
  <sheetViews>
    <sheetView topLeftCell="A32" workbookViewId="0">
      <selection activeCell="D37" sqref="D37"/>
    </sheetView>
  </sheetViews>
  <sheetFormatPr baseColWidth="10" defaultColWidth="11.44140625" defaultRowHeight="13.8" x14ac:dyDescent="0.25"/>
  <cols>
    <col min="1" max="1" width="11.44140625" style="3"/>
    <col min="2" max="2" width="9.44140625" style="1" customWidth="1"/>
    <col min="3" max="3" width="54.33203125" style="1" customWidth="1"/>
    <col min="4" max="4" width="21.88671875" style="2" customWidth="1"/>
    <col min="5" max="5" width="16.33203125" style="1" customWidth="1"/>
    <col min="6" max="6" width="18.33203125" style="1" customWidth="1"/>
    <col min="7" max="7" width="15.5546875" style="1" customWidth="1"/>
    <col min="8" max="8" width="11.44140625" style="1"/>
    <col min="9" max="9" width="15.6640625" style="1" customWidth="1"/>
    <col min="10" max="11" width="23.33203125" style="1" customWidth="1"/>
    <col min="12" max="16384" width="11.44140625" style="1"/>
  </cols>
  <sheetData>
    <row r="3" spans="1:12" ht="36" customHeight="1" x14ac:dyDescent="0.25">
      <c r="A3" s="4">
        <v>3</v>
      </c>
      <c r="C3" s="48" t="s">
        <v>9</v>
      </c>
      <c r="D3" s="48"/>
    </row>
    <row r="4" spans="1:12" ht="41.25" customHeight="1" x14ac:dyDescent="0.25">
      <c r="A4" s="4">
        <v>4</v>
      </c>
      <c r="C4" s="4" t="s">
        <v>0</v>
      </c>
      <c r="D4" s="5">
        <v>3864</v>
      </c>
      <c r="F4" s="3"/>
      <c r="G4" s="3"/>
      <c r="H4" s="3"/>
      <c r="K4" s="3"/>
      <c r="L4" s="3"/>
    </row>
    <row r="5" spans="1:12" ht="41.25" customHeight="1" x14ac:dyDescent="0.25">
      <c r="A5" s="4">
        <v>5</v>
      </c>
      <c r="C5" s="4" t="s">
        <v>31</v>
      </c>
      <c r="D5" s="5">
        <v>20</v>
      </c>
      <c r="E5" s="48" t="s">
        <v>43</v>
      </c>
      <c r="F5" s="48"/>
      <c r="G5" s="48"/>
      <c r="H5" s="3"/>
      <c r="K5" s="3"/>
      <c r="L5" s="3"/>
    </row>
    <row r="6" spans="1:12" x14ac:dyDescent="0.25">
      <c r="A6" s="4">
        <v>6</v>
      </c>
      <c r="B6" s="21" t="s">
        <v>1</v>
      </c>
      <c r="C6" s="26" t="s">
        <v>2</v>
      </c>
      <c r="D6" s="31">
        <v>3325</v>
      </c>
    </row>
    <row r="7" spans="1:12" ht="43.5" customHeight="1" x14ac:dyDescent="0.25">
      <c r="A7" s="4">
        <v>7</v>
      </c>
      <c r="B7" s="22"/>
      <c r="C7" s="26"/>
      <c r="D7" s="31"/>
    </row>
    <row r="8" spans="1:12" ht="15" customHeight="1" x14ac:dyDescent="0.25">
      <c r="A8" s="4">
        <v>8</v>
      </c>
      <c r="B8" s="32" t="s">
        <v>3</v>
      </c>
      <c r="C8" s="34" t="s">
        <v>32</v>
      </c>
      <c r="D8" s="31">
        <v>1</v>
      </c>
    </row>
    <row r="9" spans="1:12" ht="90.75" customHeight="1" x14ac:dyDescent="0.25">
      <c r="A9" s="4">
        <v>9</v>
      </c>
      <c r="B9" s="33"/>
      <c r="C9" s="35"/>
      <c r="D9" s="31"/>
    </row>
    <row r="10" spans="1:12" ht="30" customHeight="1" x14ac:dyDescent="0.25">
      <c r="A10" s="4">
        <v>10</v>
      </c>
      <c r="B10" s="7" t="s">
        <v>5</v>
      </c>
      <c r="C10" s="6" t="s">
        <v>10</v>
      </c>
      <c r="D10" s="5">
        <v>2000</v>
      </c>
    </row>
    <row r="11" spans="1:12" ht="12" customHeight="1" x14ac:dyDescent="0.25">
      <c r="A11" s="4">
        <v>11</v>
      </c>
      <c r="B11" s="21" t="s">
        <v>6</v>
      </c>
      <c r="C11" s="27" t="s">
        <v>4</v>
      </c>
      <c r="D11" s="29">
        <f>IF(D8=0,0,IF(D8=1,D10/12,IF(D8=2,D10/6,IF(D8=3,D10/3,IF(D8=4,D10/2)))))</f>
        <v>166.66666666666666</v>
      </c>
    </row>
    <row r="12" spans="1:12" ht="12" customHeight="1" x14ac:dyDescent="0.25">
      <c r="A12" s="4">
        <v>12</v>
      </c>
      <c r="B12" s="22"/>
      <c r="C12" s="28"/>
      <c r="D12" s="29"/>
    </row>
    <row r="13" spans="1:12" ht="14.4" customHeight="1" x14ac:dyDescent="0.25">
      <c r="A13" s="4">
        <v>13</v>
      </c>
      <c r="B13" s="21" t="s">
        <v>8</v>
      </c>
      <c r="C13" s="27" t="s">
        <v>11</v>
      </c>
      <c r="D13" s="25">
        <f>ROUND((D6+D11),2)</f>
        <v>3491.67</v>
      </c>
    </row>
    <row r="14" spans="1:12" ht="14.4" customHeight="1" x14ac:dyDescent="0.25">
      <c r="A14" s="4">
        <v>14</v>
      </c>
      <c r="B14" s="22"/>
      <c r="C14" s="28"/>
      <c r="D14" s="25"/>
    </row>
    <row r="15" spans="1:12" x14ac:dyDescent="0.25">
      <c r="A15" s="4">
        <v>15</v>
      </c>
      <c r="B15" s="21" t="s">
        <v>6</v>
      </c>
      <c r="C15" s="23" t="s">
        <v>12</v>
      </c>
      <c r="D15" s="25">
        <f>D13/30.42</f>
        <v>114.78205128205128</v>
      </c>
      <c r="E15" s="26" t="s">
        <v>7</v>
      </c>
    </row>
    <row r="16" spans="1:12" x14ac:dyDescent="0.25">
      <c r="A16" s="4">
        <v>16</v>
      </c>
      <c r="B16" s="22"/>
      <c r="C16" s="24"/>
      <c r="D16" s="25"/>
      <c r="E16" s="26"/>
    </row>
    <row r="17" spans="1:9" ht="28.8" customHeight="1" x14ac:dyDescent="0.25">
      <c r="A17" s="4">
        <v>17</v>
      </c>
      <c r="B17" s="39"/>
      <c r="C17" s="40" t="s">
        <v>41</v>
      </c>
      <c r="D17" s="41">
        <f>0.834%*D4*12</f>
        <v>386.70911999999998</v>
      </c>
      <c r="E17" s="39"/>
    </row>
    <row r="18" spans="1:9" ht="28.8" customHeight="1" x14ac:dyDescent="0.25">
      <c r="A18" s="4">
        <v>18</v>
      </c>
      <c r="B18" s="39"/>
      <c r="C18" s="40" t="s">
        <v>38</v>
      </c>
      <c r="D18" s="44">
        <f>MIN(D15,D17)</f>
        <v>114.78205128205128</v>
      </c>
      <c r="E18" s="39"/>
    </row>
    <row r="19" spans="1:9" ht="25.5" customHeight="1" x14ac:dyDescent="0.25">
      <c r="A19" s="4">
        <v>19</v>
      </c>
      <c r="C19" s="42" t="s">
        <v>13</v>
      </c>
      <c r="D19" s="45"/>
      <c r="G19" s="36"/>
      <c r="H19" s="36"/>
      <c r="I19" s="37"/>
    </row>
    <row r="20" spans="1:9" ht="25.5" customHeight="1" x14ac:dyDescent="0.25">
      <c r="A20" s="4">
        <v>20</v>
      </c>
      <c r="C20" s="9" t="s">
        <v>19</v>
      </c>
      <c r="D20" s="11">
        <f>60%*D18</f>
        <v>68.869230769230768</v>
      </c>
      <c r="G20" s="36"/>
      <c r="H20" s="36"/>
      <c r="I20" s="37"/>
    </row>
    <row r="21" spans="1:9" ht="25.5" customHeight="1" x14ac:dyDescent="0.25">
      <c r="A21" s="4">
        <v>21</v>
      </c>
      <c r="C21" s="9" t="s">
        <v>42</v>
      </c>
      <c r="D21" s="11">
        <f>D18*0.79</f>
        <v>90.677820512820517</v>
      </c>
      <c r="G21" s="36"/>
      <c r="H21" s="36"/>
      <c r="I21" s="37"/>
    </row>
    <row r="22" spans="1:9" ht="25.5" customHeight="1" x14ac:dyDescent="0.25">
      <c r="A22" s="4">
        <v>22</v>
      </c>
      <c r="C22" s="43" t="s">
        <v>39</v>
      </c>
      <c r="D22" s="11">
        <f>ROUND(MIN(D20,D21),2)</f>
        <v>68.87</v>
      </c>
      <c r="G22" s="36"/>
      <c r="H22" s="36"/>
      <c r="I22" s="37"/>
    </row>
    <row r="23" spans="1:9" ht="25.5" customHeight="1" x14ac:dyDescent="0.25">
      <c r="A23" s="4">
        <v>23</v>
      </c>
      <c r="C23" s="9"/>
      <c r="D23" s="38"/>
      <c r="G23" s="3"/>
      <c r="H23" s="3"/>
      <c r="I23" s="8"/>
    </row>
    <row r="24" spans="1:9" ht="25.5" customHeight="1" x14ac:dyDescent="0.25">
      <c r="A24" s="4">
        <v>24</v>
      </c>
      <c r="B24" s="54" t="s">
        <v>35</v>
      </c>
      <c r="C24" s="9" t="s">
        <v>36</v>
      </c>
      <c r="D24" s="20">
        <f>MIN(D22,D17)</f>
        <v>68.87</v>
      </c>
      <c r="G24" s="3"/>
      <c r="H24" s="3"/>
      <c r="I24" s="8"/>
    </row>
    <row r="25" spans="1:9" ht="25.5" customHeight="1" x14ac:dyDescent="0.25">
      <c r="A25" s="4">
        <v>25</v>
      </c>
      <c r="B25" s="54"/>
      <c r="C25" s="14" t="s">
        <v>24</v>
      </c>
      <c r="D25" s="13">
        <f>D24*3.8%</f>
        <v>2.6170599999999999</v>
      </c>
      <c r="G25" s="3"/>
      <c r="H25" s="3"/>
      <c r="I25" s="8"/>
    </row>
    <row r="26" spans="1:9" ht="25.5" customHeight="1" x14ac:dyDescent="0.25">
      <c r="A26" s="4">
        <v>26</v>
      </c>
      <c r="B26" s="54"/>
      <c r="C26" s="14" t="s">
        <v>25</v>
      </c>
      <c r="D26" s="13">
        <f>D24*2.9%</f>
        <v>1.9972300000000001</v>
      </c>
      <c r="G26" s="3"/>
      <c r="H26" s="3"/>
      <c r="I26" s="8"/>
    </row>
    <row r="27" spans="1:9" ht="25.5" customHeight="1" x14ac:dyDescent="0.25">
      <c r="A27" s="4">
        <v>27</v>
      </c>
      <c r="B27" s="54"/>
      <c r="C27" s="16" t="s">
        <v>26</v>
      </c>
      <c r="D27" s="46">
        <f>ROUND((D24-D25-D26),2)</f>
        <v>64.260000000000005</v>
      </c>
      <c r="G27" s="3"/>
      <c r="H27" s="3"/>
      <c r="I27" s="8"/>
    </row>
    <row r="28" spans="1:9" ht="25.5" customHeight="1" x14ac:dyDescent="0.25">
      <c r="A28" s="4">
        <v>28</v>
      </c>
      <c r="B28" s="54"/>
      <c r="C28" s="14" t="s">
        <v>27</v>
      </c>
      <c r="D28" s="13">
        <f>50% * D24</f>
        <v>34.435000000000002</v>
      </c>
      <c r="G28" s="3"/>
      <c r="H28" s="3"/>
      <c r="I28" s="8"/>
    </row>
    <row r="29" spans="1:9" ht="25.5" customHeight="1" x14ac:dyDescent="0.25">
      <c r="A29" s="4">
        <v>29</v>
      </c>
      <c r="B29" s="54"/>
      <c r="C29" s="14" t="s">
        <v>28</v>
      </c>
      <c r="D29" s="13">
        <f>D28*3.8%</f>
        <v>1.30853</v>
      </c>
      <c r="G29" s="3"/>
      <c r="H29" s="3"/>
      <c r="I29" s="8"/>
    </row>
    <row r="30" spans="1:9" ht="30.75" customHeight="1" x14ac:dyDescent="0.25">
      <c r="A30" s="4">
        <v>30</v>
      </c>
      <c r="B30" s="54"/>
      <c r="C30" s="17" t="s">
        <v>30</v>
      </c>
      <c r="D30" s="46">
        <f>+D28-D29</f>
        <v>33.126470000000005</v>
      </c>
      <c r="G30" s="3"/>
      <c r="H30" s="3"/>
      <c r="I30" s="8"/>
    </row>
    <row r="31" spans="1:9" ht="25.5" customHeight="1" x14ac:dyDescent="0.25">
      <c r="A31" s="4">
        <v>31</v>
      </c>
      <c r="C31" s="42" t="s">
        <v>17</v>
      </c>
      <c r="D31" s="11"/>
      <c r="G31" s="3"/>
      <c r="H31" s="3"/>
      <c r="I31" s="8"/>
    </row>
    <row r="32" spans="1:9" ht="25.5" customHeight="1" x14ac:dyDescent="0.25">
      <c r="A32" s="4">
        <v>32</v>
      </c>
      <c r="C32" s="9" t="s">
        <v>14</v>
      </c>
      <c r="D32" s="11">
        <f>D21</f>
        <v>90.677820512820517</v>
      </c>
      <c r="G32" s="3"/>
      <c r="H32" s="3"/>
      <c r="I32" s="8"/>
    </row>
    <row r="33" spans="1:9" ht="25.5" customHeight="1" x14ac:dyDescent="0.25">
      <c r="A33" s="4">
        <v>33</v>
      </c>
      <c r="C33" s="9" t="s">
        <v>18</v>
      </c>
      <c r="D33" s="11">
        <f>80%*D18</f>
        <v>91.825641025641033</v>
      </c>
      <c r="G33" s="3"/>
      <c r="H33" s="3"/>
      <c r="I33" s="8"/>
    </row>
    <row r="34" spans="1:9" ht="25.5" customHeight="1" x14ac:dyDescent="0.25">
      <c r="A34" s="4">
        <v>34</v>
      </c>
      <c r="C34" s="9" t="s">
        <v>40</v>
      </c>
      <c r="D34" s="11">
        <f>MIN(D32,D33)</f>
        <v>90.677820512820517</v>
      </c>
      <c r="G34" s="3"/>
      <c r="H34" s="3"/>
      <c r="I34" s="8"/>
    </row>
    <row r="35" spans="1:9" ht="25.5" customHeight="1" x14ac:dyDescent="0.25">
      <c r="A35" s="4">
        <v>35</v>
      </c>
      <c r="C35" s="9"/>
      <c r="D35" s="11"/>
      <c r="G35" s="3"/>
      <c r="H35" s="3"/>
      <c r="I35" s="8"/>
    </row>
    <row r="36" spans="1:9" ht="25.5" customHeight="1" x14ac:dyDescent="0.25">
      <c r="A36" s="4">
        <v>36</v>
      </c>
      <c r="C36" s="9" t="s">
        <v>21</v>
      </c>
      <c r="D36" s="12">
        <f>MIN(D34,D35)</f>
        <v>90.677820512820517</v>
      </c>
      <c r="G36" s="3"/>
      <c r="H36" s="3"/>
      <c r="I36" s="8"/>
    </row>
    <row r="37" spans="1:9" ht="25.5" customHeight="1" x14ac:dyDescent="0.25">
      <c r="A37" s="4">
        <v>37</v>
      </c>
      <c r="B37" s="54" t="s">
        <v>37</v>
      </c>
      <c r="C37" s="9" t="s">
        <v>22</v>
      </c>
      <c r="D37" s="20">
        <f>IF(D5&lt;=28,0,D36)</f>
        <v>0</v>
      </c>
      <c r="G37" s="3"/>
      <c r="H37" s="3"/>
      <c r="I37" s="8"/>
    </row>
    <row r="38" spans="1:9" ht="28.5" customHeight="1" x14ac:dyDescent="0.25">
      <c r="A38" s="4">
        <v>38</v>
      </c>
      <c r="B38" s="54"/>
      <c r="C38" s="14" t="s">
        <v>24</v>
      </c>
      <c r="D38" s="13">
        <f>D37*3.8%</f>
        <v>0</v>
      </c>
    </row>
    <row r="39" spans="1:9" ht="28.5" customHeight="1" x14ac:dyDescent="0.25">
      <c r="A39" s="4">
        <v>39</v>
      </c>
      <c r="B39" s="54"/>
      <c r="C39" s="14" t="s">
        <v>25</v>
      </c>
      <c r="D39" s="13">
        <f>D37*2.9%</f>
        <v>0</v>
      </c>
    </row>
    <row r="40" spans="1:9" ht="28.5" customHeight="1" x14ac:dyDescent="0.25">
      <c r="A40" s="4">
        <v>40</v>
      </c>
      <c r="B40" s="54"/>
      <c r="C40" s="16" t="s">
        <v>26</v>
      </c>
      <c r="D40" s="46">
        <f>D37-D38-D39</f>
        <v>0</v>
      </c>
    </row>
    <row r="41" spans="1:9" ht="28.5" customHeight="1" x14ac:dyDescent="0.25">
      <c r="A41" s="4">
        <v>41</v>
      </c>
      <c r="B41" s="54"/>
      <c r="C41" s="14" t="s">
        <v>27</v>
      </c>
      <c r="D41" s="13">
        <f>50% * D37</f>
        <v>0</v>
      </c>
    </row>
    <row r="42" spans="1:9" ht="28.5" customHeight="1" x14ac:dyDescent="0.25">
      <c r="A42" s="4">
        <v>42</v>
      </c>
      <c r="B42" s="54"/>
      <c r="C42" s="14" t="s">
        <v>28</v>
      </c>
      <c r="D42" s="13">
        <f>D41*3.8%</f>
        <v>0</v>
      </c>
    </row>
    <row r="43" spans="1:9" ht="45" customHeight="1" x14ac:dyDescent="0.25">
      <c r="A43" s="4">
        <v>43</v>
      </c>
      <c r="B43" s="54"/>
      <c r="C43" s="17" t="s">
        <v>30</v>
      </c>
      <c r="D43" s="46">
        <f>+D41-D42</f>
        <v>0</v>
      </c>
    </row>
    <row r="44" spans="1:9" ht="19.2" customHeight="1" x14ac:dyDescent="0.25">
      <c r="A44" s="4">
        <v>44</v>
      </c>
      <c r="C44" s="50" t="s">
        <v>33</v>
      </c>
      <c r="D44" s="53">
        <f>IF(D5&gt;28, 28*D24+(D5-28)*D37,D5*D24)</f>
        <v>1377.4</v>
      </c>
      <c r="F44" s="49"/>
    </row>
    <row r="45" spans="1:9" ht="19.2" customHeight="1" x14ac:dyDescent="0.25">
      <c r="A45" s="4">
        <v>45</v>
      </c>
      <c r="C45" s="4" t="s">
        <v>44</v>
      </c>
      <c r="D45" s="19">
        <f>3.8%*D44</f>
        <v>52.341200000000001</v>
      </c>
    </row>
    <row r="46" spans="1:9" ht="19.2" customHeight="1" x14ac:dyDescent="0.25">
      <c r="A46" s="4">
        <v>46</v>
      </c>
      <c r="C46" s="4" t="s">
        <v>45</v>
      </c>
      <c r="D46" s="19">
        <f>D44*2.9%</f>
        <v>39.944600000000001</v>
      </c>
    </row>
    <row r="47" spans="1:9" ht="19.2" customHeight="1" x14ac:dyDescent="0.25">
      <c r="A47" s="4">
        <v>47</v>
      </c>
      <c r="C47" s="4" t="s">
        <v>34</v>
      </c>
      <c r="D47" s="53">
        <f>IF(D5&gt;28, 28*D24*0.933+(D5-28)*D37*0.933,D5*D24*0.933)</f>
        <v>1285.1142000000002</v>
      </c>
      <c r="F47" s="49"/>
    </row>
    <row r="48" spans="1:9" ht="19.2" customHeight="1" x14ac:dyDescent="0.25">
      <c r="A48" s="4">
        <v>48</v>
      </c>
      <c r="C48" s="4" t="s">
        <v>46</v>
      </c>
      <c r="D48" s="51">
        <f>50%*D44</f>
        <v>688.7</v>
      </c>
    </row>
    <row r="49" spans="1:4" ht="19.2" customHeight="1" x14ac:dyDescent="0.25">
      <c r="A49" s="4">
        <v>49</v>
      </c>
      <c r="C49" s="4" t="s">
        <v>47</v>
      </c>
      <c r="D49" s="13">
        <f>50%*D45</f>
        <v>26.1706</v>
      </c>
    </row>
    <row r="50" spans="1:4" ht="19.2" customHeight="1" x14ac:dyDescent="0.25">
      <c r="A50" s="4">
        <v>50</v>
      </c>
      <c r="C50" s="4" t="s">
        <v>48</v>
      </c>
      <c r="D50" s="52">
        <f>D48-D49</f>
        <v>662.52940000000001</v>
      </c>
    </row>
    <row r="51" spans="1:4" ht="19.2" customHeight="1" x14ac:dyDescent="0.25">
      <c r="A51" s="4">
        <v>51</v>
      </c>
      <c r="C51" s="50" t="s">
        <v>49</v>
      </c>
      <c r="D51" s="19">
        <f>IF(D5&gt;28, 28*D30+(D5-28)*D43,D5*D30)</f>
        <v>662.52940000000012</v>
      </c>
    </row>
  </sheetData>
  <mergeCells count="23">
    <mergeCell ref="I19:I22"/>
    <mergeCell ref="B24:B30"/>
    <mergeCell ref="B37:B43"/>
    <mergeCell ref="E5:G5"/>
    <mergeCell ref="B15:B16"/>
    <mergeCell ref="C15:C16"/>
    <mergeCell ref="D15:D16"/>
    <mergeCell ref="E15:E16"/>
    <mergeCell ref="G19:G22"/>
    <mergeCell ref="H19:H22"/>
    <mergeCell ref="B11:B12"/>
    <mergeCell ref="C11:C12"/>
    <mergeCell ref="D11:D12"/>
    <mergeCell ref="B13:B14"/>
    <mergeCell ref="C13:C14"/>
    <mergeCell ref="D13:D14"/>
    <mergeCell ref="C3:D3"/>
    <mergeCell ref="B6:B7"/>
    <mergeCell ref="C6:C7"/>
    <mergeCell ref="D6:D7"/>
    <mergeCell ref="B8:B9"/>
    <mergeCell ref="C8:C9"/>
    <mergeCell ref="D8:D9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866C0-B38E-43BA-A56D-4558D5654CFB}">
  <dimension ref="A1:L42"/>
  <sheetViews>
    <sheetView tabSelected="1" topLeftCell="A33" zoomScale="90" zoomScaleNormal="90" workbookViewId="0">
      <selection activeCell="D41" sqref="D41"/>
    </sheetView>
  </sheetViews>
  <sheetFormatPr baseColWidth="10" defaultColWidth="11.44140625" defaultRowHeight="13.8" x14ac:dyDescent="0.25"/>
  <cols>
    <col min="1" max="1" width="5.88671875" style="3" customWidth="1"/>
    <col min="2" max="2" width="9.44140625" style="1" customWidth="1"/>
    <col min="3" max="3" width="54.33203125" style="1" customWidth="1"/>
    <col min="4" max="4" width="21.88671875" style="2" customWidth="1"/>
    <col min="5" max="5" width="16.33203125" style="1" customWidth="1"/>
    <col min="6" max="6" width="18.33203125" style="1" customWidth="1"/>
    <col min="7" max="7" width="15.5546875" style="1" customWidth="1"/>
    <col min="8" max="8" width="11.44140625" style="1"/>
    <col min="9" max="9" width="15.6640625" style="1" customWidth="1"/>
    <col min="10" max="11" width="23.33203125" style="1" customWidth="1"/>
    <col min="12" max="16384" width="11.44140625" style="1"/>
  </cols>
  <sheetData>
    <row r="1" spans="1:12" ht="36" customHeight="1" x14ac:dyDescent="0.25">
      <c r="C1" s="30" t="s">
        <v>9</v>
      </c>
      <c r="D1" s="30"/>
    </row>
    <row r="2" spans="1:12" ht="41.25" customHeight="1" x14ac:dyDescent="0.25">
      <c r="A2" s="4">
        <v>2</v>
      </c>
      <c r="C2" s="4" t="s">
        <v>0</v>
      </c>
      <c r="D2" s="5">
        <v>3864</v>
      </c>
      <c r="F2" s="3"/>
      <c r="G2" s="3"/>
      <c r="H2" s="3"/>
      <c r="K2" s="3"/>
      <c r="L2" s="3"/>
    </row>
    <row r="3" spans="1:12" ht="41.25" customHeight="1" x14ac:dyDescent="0.25">
      <c r="A3" s="4">
        <v>3</v>
      </c>
      <c r="C3" s="4" t="s">
        <v>31</v>
      </c>
      <c r="D3" s="5">
        <v>20</v>
      </c>
      <c r="E3" s="48" t="s">
        <v>43</v>
      </c>
      <c r="F3" s="48"/>
      <c r="G3" s="48"/>
      <c r="H3" s="3"/>
      <c r="K3" s="3"/>
      <c r="L3" s="3"/>
    </row>
    <row r="4" spans="1:12" x14ac:dyDescent="0.25">
      <c r="A4" s="4">
        <v>4</v>
      </c>
      <c r="B4" s="21" t="s">
        <v>1</v>
      </c>
      <c r="C4" s="26" t="s">
        <v>2</v>
      </c>
      <c r="D4" s="31">
        <v>3325</v>
      </c>
    </row>
    <row r="5" spans="1:12" ht="43.5" customHeight="1" x14ac:dyDescent="0.25">
      <c r="A5" s="4">
        <v>5</v>
      </c>
      <c r="B5" s="22"/>
      <c r="C5" s="26"/>
      <c r="D5" s="31"/>
    </row>
    <row r="6" spans="1:12" ht="15" customHeight="1" x14ac:dyDescent="0.25">
      <c r="A6" s="4">
        <v>6</v>
      </c>
      <c r="B6" s="32" t="s">
        <v>3</v>
      </c>
      <c r="C6" s="34" t="s">
        <v>32</v>
      </c>
      <c r="D6" s="31">
        <v>1</v>
      </c>
    </row>
    <row r="7" spans="1:12" ht="90.75" customHeight="1" x14ac:dyDescent="0.25">
      <c r="A7" s="4">
        <v>7</v>
      </c>
      <c r="B7" s="33"/>
      <c r="C7" s="35"/>
      <c r="D7" s="31"/>
    </row>
    <row r="8" spans="1:12" ht="30" customHeight="1" x14ac:dyDescent="0.25">
      <c r="A8" s="4">
        <v>8</v>
      </c>
      <c r="B8" s="7" t="s">
        <v>5</v>
      </c>
      <c r="C8" s="6" t="s">
        <v>10</v>
      </c>
      <c r="D8" s="5">
        <v>2000</v>
      </c>
    </row>
    <row r="9" spans="1:12" x14ac:dyDescent="0.25">
      <c r="A9" s="4">
        <v>9</v>
      </c>
      <c r="B9" s="21" t="s">
        <v>6</v>
      </c>
      <c r="C9" s="27" t="s">
        <v>4</v>
      </c>
      <c r="D9" s="29">
        <f>IF(D6=0,0,IF(D6=1,D8/12,IF(D6=2,D8/6,IF(D6=3,D8/3,IF(D6=4,D8/2)))))</f>
        <v>166.66666666666666</v>
      </c>
    </row>
    <row r="10" spans="1:12" ht="13.8" customHeight="1" x14ac:dyDescent="0.25">
      <c r="A10" s="4">
        <v>10</v>
      </c>
      <c r="B10" s="22"/>
      <c r="C10" s="28"/>
      <c r="D10" s="29"/>
    </row>
    <row r="11" spans="1:12" x14ac:dyDescent="0.25">
      <c r="A11" s="4">
        <v>11</v>
      </c>
      <c r="B11" s="21" t="s">
        <v>8</v>
      </c>
      <c r="C11" s="27" t="s">
        <v>11</v>
      </c>
      <c r="D11" s="25">
        <f>ROUND((D4+D9),2)</f>
        <v>3491.67</v>
      </c>
    </row>
    <row r="12" spans="1:12" ht="14.4" customHeight="1" x14ac:dyDescent="0.25">
      <c r="A12" s="4">
        <v>12</v>
      </c>
      <c r="B12" s="22"/>
      <c r="C12" s="28"/>
      <c r="D12" s="25"/>
    </row>
    <row r="13" spans="1:12" x14ac:dyDescent="0.25">
      <c r="A13" s="4">
        <v>13</v>
      </c>
      <c r="B13" s="21" t="s">
        <v>6</v>
      </c>
      <c r="C13" s="23" t="s">
        <v>12</v>
      </c>
      <c r="D13" s="25">
        <f>D11/30.42</f>
        <v>114.78205128205128</v>
      </c>
      <c r="E13" s="26" t="s">
        <v>7</v>
      </c>
    </row>
    <row r="14" spans="1:12" x14ac:dyDescent="0.25">
      <c r="A14" s="4">
        <v>14</v>
      </c>
      <c r="B14" s="22"/>
      <c r="C14" s="24"/>
      <c r="D14" s="25"/>
      <c r="E14" s="26"/>
    </row>
    <row r="15" spans="1:12" ht="25.5" customHeight="1" x14ac:dyDescent="0.25">
      <c r="A15" s="4">
        <v>15</v>
      </c>
      <c r="C15" s="42" t="s">
        <v>13</v>
      </c>
      <c r="D15" s="10"/>
      <c r="G15" s="36"/>
      <c r="H15" s="36"/>
      <c r="I15" s="37"/>
    </row>
    <row r="16" spans="1:12" ht="25.5" customHeight="1" x14ac:dyDescent="0.25">
      <c r="A16" s="4">
        <v>16</v>
      </c>
      <c r="C16" s="9" t="s">
        <v>19</v>
      </c>
      <c r="D16" s="11">
        <f>60%*D13</f>
        <v>68.869230769230768</v>
      </c>
      <c r="G16" s="36"/>
      <c r="H16" s="36"/>
      <c r="I16" s="37"/>
    </row>
    <row r="17" spans="1:9" ht="25.5" customHeight="1" x14ac:dyDescent="0.25">
      <c r="A17" s="4">
        <v>17</v>
      </c>
      <c r="C17" s="9" t="s">
        <v>14</v>
      </c>
      <c r="D17" s="11">
        <f>D13*0.79</f>
        <v>90.677820512820517</v>
      </c>
      <c r="G17" s="36"/>
      <c r="H17" s="36"/>
      <c r="I17" s="37"/>
    </row>
    <row r="18" spans="1:9" ht="25.5" customHeight="1" x14ac:dyDescent="0.25">
      <c r="A18" s="4">
        <v>18</v>
      </c>
      <c r="C18" s="9" t="s">
        <v>15</v>
      </c>
      <c r="D18" s="11">
        <f>ROUND(MIN(D16,D17),2)</f>
        <v>68.87</v>
      </c>
      <c r="G18" s="36"/>
      <c r="H18" s="36"/>
      <c r="I18" s="37"/>
    </row>
    <row r="19" spans="1:9" ht="25.5" customHeight="1" x14ac:dyDescent="0.25">
      <c r="A19" s="4">
        <v>19</v>
      </c>
      <c r="C19" s="9" t="s">
        <v>16</v>
      </c>
      <c r="D19" s="41">
        <f>0.834%*D2*12*60%</f>
        <v>232.02547199999998</v>
      </c>
      <c r="G19" s="3"/>
      <c r="H19" s="3"/>
      <c r="I19" s="8"/>
    </row>
    <row r="20" spans="1:9" ht="25.5" customHeight="1" x14ac:dyDescent="0.25">
      <c r="A20" s="4">
        <v>20</v>
      </c>
      <c r="B20" s="47" t="s">
        <v>35</v>
      </c>
      <c r="C20" s="9" t="s">
        <v>36</v>
      </c>
      <c r="D20" s="20">
        <f>MIN(D18,D19)</f>
        <v>68.87</v>
      </c>
      <c r="G20" s="3"/>
      <c r="H20" s="3"/>
      <c r="I20" s="8"/>
    </row>
    <row r="21" spans="1:9" ht="25.5" customHeight="1" x14ac:dyDescent="0.25">
      <c r="A21" s="4">
        <v>21</v>
      </c>
      <c r="B21" s="47"/>
      <c r="C21" s="14" t="s">
        <v>24</v>
      </c>
      <c r="D21" s="13">
        <f>D20*3.8%</f>
        <v>2.6170599999999999</v>
      </c>
      <c r="G21" s="3"/>
      <c r="H21" s="3"/>
      <c r="I21" s="8"/>
    </row>
    <row r="22" spans="1:9" ht="25.5" customHeight="1" x14ac:dyDescent="0.25">
      <c r="A22" s="4">
        <v>22</v>
      </c>
      <c r="B22" s="47"/>
      <c r="C22" s="14" t="s">
        <v>25</v>
      </c>
      <c r="D22" s="13">
        <f>D20*2.9%</f>
        <v>1.9972300000000001</v>
      </c>
      <c r="G22" s="3"/>
      <c r="H22" s="3"/>
      <c r="I22" s="8"/>
    </row>
    <row r="23" spans="1:9" ht="25.5" customHeight="1" x14ac:dyDescent="0.25">
      <c r="A23" s="4">
        <v>23</v>
      </c>
      <c r="B23" s="47"/>
      <c r="C23" s="16" t="s">
        <v>26</v>
      </c>
      <c r="D23" s="15">
        <f>ROUND((D20-D21-D22),2)</f>
        <v>64.260000000000005</v>
      </c>
      <c r="G23" s="3"/>
      <c r="H23" s="3"/>
      <c r="I23" s="8"/>
    </row>
    <row r="24" spans="1:9" ht="25.5" customHeight="1" x14ac:dyDescent="0.25">
      <c r="A24" s="4">
        <v>24</v>
      </c>
      <c r="B24" s="47"/>
      <c r="C24" s="14" t="s">
        <v>27</v>
      </c>
      <c r="D24" s="13">
        <f>50% * D20</f>
        <v>34.435000000000002</v>
      </c>
      <c r="G24" s="3"/>
      <c r="H24" s="3"/>
      <c r="I24" s="8"/>
    </row>
    <row r="25" spans="1:9" ht="25.5" customHeight="1" x14ac:dyDescent="0.25">
      <c r="A25" s="4">
        <v>25</v>
      </c>
      <c r="B25" s="47"/>
      <c r="C25" s="14" t="s">
        <v>28</v>
      </c>
      <c r="D25" s="13">
        <f>D24*3.8%</f>
        <v>1.30853</v>
      </c>
      <c r="G25" s="3"/>
      <c r="H25" s="3"/>
      <c r="I25" s="8"/>
    </row>
    <row r="26" spans="1:9" ht="30.75" customHeight="1" x14ac:dyDescent="0.25">
      <c r="A26" s="4">
        <v>26</v>
      </c>
      <c r="B26" s="47"/>
      <c r="C26" s="17" t="s">
        <v>30</v>
      </c>
      <c r="D26" s="46">
        <f>+D24-D25</f>
        <v>33.126470000000005</v>
      </c>
      <c r="G26" s="3"/>
      <c r="H26" s="3"/>
      <c r="I26" s="8"/>
    </row>
    <row r="27" spans="1:9" ht="25.5" customHeight="1" x14ac:dyDescent="0.25">
      <c r="A27" s="4">
        <v>27</v>
      </c>
      <c r="C27" s="42" t="s">
        <v>17</v>
      </c>
      <c r="D27" s="11"/>
      <c r="G27" s="3"/>
      <c r="H27" s="3"/>
      <c r="I27" s="8"/>
    </row>
    <row r="28" spans="1:9" ht="25.5" customHeight="1" x14ac:dyDescent="0.25">
      <c r="A28" s="4">
        <v>28</v>
      </c>
      <c r="C28" s="9" t="s">
        <v>14</v>
      </c>
      <c r="D28" s="11">
        <f>D17</f>
        <v>90.677820512820517</v>
      </c>
      <c r="G28" s="3"/>
      <c r="H28" s="3"/>
      <c r="I28" s="8"/>
    </row>
    <row r="29" spans="1:9" ht="25.5" customHeight="1" x14ac:dyDescent="0.25">
      <c r="A29" s="4">
        <v>29</v>
      </c>
      <c r="C29" s="9" t="s">
        <v>18</v>
      </c>
      <c r="D29" s="11">
        <f>80%*D13</f>
        <v>91.825641025641033</v>
      </c>
      <c r="G29" s="3"/>
      <c r="H29" s="3"/>
      <c r="I29" s="8"/>
    </row>
    <row r="30" spans="1:9" ht="25.5" customHeight="1" x14ac:dyDescent="0.25">
      <c r="A30" s="4">
        <v>30</v>
      </c>
      <c r="C30" s="9" t="s">
        <v>20</v>
      </c>
      <c r="D30" s="11">
        <f>MIN(D28,D29)</f>
        <v>90.677820512820517</v>
      </c>
      <c r="G30" s="3"/>
      <c r="H30" s="3"/>
      <c r="I30" s="8"/>
    </row>
    <row r="31" spans="1:9" ht="25.5" customHeight="1" x14ac:dyDescent="0.25">
      <c r="A31" s="4">
        <v>31</v>
      </c>
      <c r="C31" s="9" t="s">
        <v>23</v>
      </c>
      <c r="D31" s="11">
        <f>0.834%*D2*12*80 %</f>
        <v>309.36729600000001</v>
      </c>
      <c r="G31" s="3"/>
      <c r="H31" s="3"/>
      <c r="I31" s="8"/>
    </row>
    <row r="32" spans="1:9" ht="25.5" customHeight="1" x14ac:dyDescent="0.25">
      <c r="A32" s="4">
        <v>32</v>
      </c>
      <c r="C32" s="9" t="s">
        <v>21</v>
      </c>
      <c r="D32" s="12">
        <f>MIN(D30,D31)</f>
        <v>90.677820512820517</v>
      </c>
      <c r="G32" s="3"/>
      <c r="H32" s="3"/>
      <c r="I32" s="8"/>
    </row>
    <row r="33" spans="1:9" ht="25.5" customHeight="1" x14ac:dyDescent="0.25">
      <c r="A33" s="4">
        <v>33</v>
      </c>
      <c r="B33" s="47" t="s">
        <v>37</v>
      </c>
      <c r="C33" s="9" t="s">
        <v>22</v>
      </c>
      <c r="D33" s="55">
        <f>IF(D3&lt;=28,0,D32)</f>
        <v>0</v>
      </c>
      <c r="G33" s="3"/>
      <c r="H33" s="3"/>
      <c r="I33" s="8"/>
    </row>
    <row r="34" spans="1:9" ht="28.5" customHeight="1" x14ac:dyDescent="0.25">
      <c r="A34" s="4">
        <v>34</v>
      </c>
      <c r="B34" s="47"/>
      <c r="C34" s="14" t="s">
        <v>24</v>
      </c>
      <c r="D34" s="13">
        <f>D33*3.8%</f>
        <v>0</v>
      </c>
    </row>
    <row r="35" spans="1:9" ht="28.5" customHeight="1" x14ac:dyDescent="0.25">
      <c r="A35" s="4">
        <v>35</v>
      </c>
      <c r="B35" s="47"/>
      <c r="C35" s="14" t="s">
        <v>25</v>
      </c>
      <c r="D35" s="13">
        <f>D33*2.9%</f>
        <v>0</v>
      </c>
    </row>
    <row r="36" spans="1:9" ht="28.5" customHeight="1" x14ac:dyDescent="0.25">
      <c r="A36" s="4">
        <v>36</v>
      </c>
      <c r="B36" s="47"/>
      <c r="C36" s="16" t="s">
        <v>26</v>
      </c>
      <c r="D36" s="46">
        <f>D33-D34-D35</f>
        <v>0</v>
      </c>
    </row>
    <row r="37" spans="1:9" ht="28.5" customHeight="1" x14ac:dyDescent="0.25">
      <c r="A37" s="4">
        <v>37</v>
      </c>
      <c r="B37" s="47"/>
      <c r="C37" s="14" t="s">
        <v>27</v>
      </c>
      <c r="D37" s="13">
        <f>50% * D33</f>
        <v>0</v>
      </c>
    </row>
    <row r="38" spans="1:9" ht="28.5" customHeight="1" x14ac:dyDescent="0.25">
      <c r="A38" s="4">
        <v>38</v>
      </c>
      <c r="B38" s="47"/>
      <c r="C38" s="14" t="s">
        <v>28</v>
      </c>
      <c r="D38" s="13">
        <f>D37*3.8%</f>
        <v>0</v>
      </c>
    </row>
    <row r="39" spans="1:9" ht="45" customHeight="1" x14ac:dyDescent="0.25">
      <c r="A39" s="4">
        <v>39</v>
      </c>
      <c r="B39" s="47"/>
      <c r="C39" s="17" t="s">
        <v>30</v>
      </c>
      <c r="D39" s="46">
        <f>+D37-D38</f>
        <v>0</v>
      </c>
    </row>
    <row r="40" spans="1:9" ht="30" customHeight="1" x14ac:dyDescent="0.25">
      <c r="A40" s="4">
        <v>40</v>
      </c>
      <c r="C40" s="18" t="s">
        <v>33</v>
      </c>
      <c r="D40" s="19">
        <f>IF(D3&gt;28, 28*D20+(D3-28)*D33,D3*D20)</f>
        <v>1377.4</v>
      </c>
    </row>
    <row r="41" spans="1:9" ht="30" customHeight="1" x14ac:dyDescent="0.25">
      <c r="A41" s="4">
        <v>41</v>
      </c>
      <c r="C41" s="18" t="s">
        <v>34</v>
      </c>
      <c r="D41" s="19">
        <f>IF(D3&gt;28, 28*D20*0.933+(D3-28)*D33*0.933,D3*D20*0.933)</f>
        <v>1285.1142000000002</v>
      </c>
    </row>
    <row r="42" spans="1:9" ht="30" customHeight="1" x14ac:dyDescent="0.25">
      <c r="A42" s="4">
        <v>42</v>
      </c>
      <c r="C42" s="18" t="s">
        <v>29</v>
      </c>
      <c r="D42" s="19">
        <f>IF(D3&gt;28, 28*D26+(D3-28)*D39,D3*D26)</f>
        <v>662.52940000000012</v>
      </c>
    </row>
  </sheetData>
  <mergeCells count="23">
    <mergeCell ref="C1:D1"/>
    <mergeCell ref="B6:B7"/>
    <mergeCell ref="E13:E14"/>
    <mergeCell ref="B9:B10"/>
    <mergeCell ref="C9:C10"/>
    <mergeCell ref="D9:D10"/>
    <mergeCell ref="E3:G3"/>
    <mergeCell ref="B20:B26"/>
    <mergeCell ref="B33:B39"/>
    <mergeCell ref="B4:B5"/>
    <mergeCell ref="C4:C5"/>
    <mergeCell ref="D4:D5"/>
    <mergeCell ref="C6:C7"/>
    <mergeCell ref="D6:D7"/>
    <mergeCell ref="I15:I18"/>
    <mergeCell ref="B11:B12"/>
    <mergeCell ref="C11:C12"/>
    <mergeCell ref="D11:D12"/>
    <mergeCell ref="B13:B14"/>
    <mergeCell ref="C13:C14"/>
    <mergeCell ref="D13:D14"/>
    <mergeCell ref="G15:G18"/>
    <mergeCell ref="H15:H18"/>
  </mergeCells>
  <printOptions horizontalCentered="1" verticalCentered="1"/>
  <pageMargins left="0.70866141732283472" right="0.70866141732283472" top="0.15748031496062992" bottom="0.15748031496062992" header="0.31496062992125984" footer="0.31496062992125984"/>
  <pageSetup paperSize="9" scale="70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TRAME  1</vt:lpstr>
      <vt:lpstr>TRAME 2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Bienvenue</dc:creator>
  <cp:lastModifiedBy>jacques LE CHEVANTON</cp:lastModifiedBy>
  <cp:lastPrinted>2023-08-02T02:34:10Z</cp:lastPrinted>
  <dcterms:created xsi:type="dcterms:W3CDTF">2023-06-19T06:09:47Z</dcterms:created>
  <dcterms:modified xsi:type="dcterms:W3CDTF">2024-05-09T06:02:35Z</dcterms:modified>
</cp:coreProperties>
</file>