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a77d33fea66a78b/Desktop/EXCEL POUR LA PAIE 2024/TELECHARGEMENTS 2024/TOME 2/6. FORFAIT JOURS FORFAIT HEURES/TELECHARGEMENT 2024/"/>
    </mc:Choice>
  </mc:AlternateContent>
  <xr:revisionPtr revIDLastSave="385" documentId="13_ncr:1_{523A6007-175F-425B-81B3-AF27A54A50C6}" xr6:coauthVersionLast="47" xr6:coauthVersionMax="47" xr10:uidLastSave="{23ED5869-A47A-494D-831E-04B77B5E2EA3}"/>
  <bookViews>
    <workbookView xWindow="-108" yWindow="-108" windowWidth="23256" windowHeight="12456" tabRatio="603" activeTab="3" xr2:uid="{00000000-000D-0000-FFFF-FFFF00000000}"/>
  </bookViews>
  <sheets>
    <sheet name="VAL ABSENCES" sheetId="4" r:id="rId1"/>
    <sheet name="COURS " sheetId="1" r:id="rId2"/>
    <sheet name="EX 1 " sheetId="10" r:id="rId3"/>
    <sheet name="calcul nb de jours de repos" sheetId="9" r:id="rId4"/>
  </sheets>
  <externalReferences>
    <externalReference r:id="rId5"/>
  </externalReferences>
  <definedNames>
    <definedName name="AO202NJO">#REF!</definedName>
    <definedName name="AOUT">#REF!</definedName>
    <definedName name="AOUT1">#REF!</definedName>
    <definedName name="AOUT202N">#REF!</definedName>
    <definedName name="AOUT202NJO">#REF!</definedName>
    <definedName name="APRIL202N">#REF!</definedName>
    <definedName name="APRIL202NJO">#REF!</definedName>
    <definedName name="AVR202NJO">#REF!</definedName>
    <definedName name="AVRIL">#REF!</definedName>
    <definedName name="AVRIL1">#REF!</definedName>
    <definedName name="AVRIL202N">#REF!</definedName>
    <definedName name="AVRIL202NJO">#REF!</definedName>
    <definedName name="DEC1202NJO">#REF!</definedName>
    <definedName name="DEC202NJO">#REF!</definedName>
    <definedName name="DECEMBRE">#REF!</definedName>
    <definedName name="DECEMBRE1">#REF!</definedName>
    <definedName name="DECEMBRE202N">#REF!</definedName>
    <definedName name="DECEMBRE202NJO">#REF!</definedName>
    <definedName name="FEV202NJO">#REF!</definedName>
    <definedName name="FEVRIER">#REF!</definedName>
    <definedName name="FEVRIER1">#REF!</definedName>
    <definedName name="FEVRIER202N">#REF!</definedName>
    <definedName name="FEVRIER202NJO">#REF!</definedName>
    <definedName name="JAN202NJO">#REF!</definedName>
    <definedName name="JANVIER">#REF!</definedName>
    <definedName name="JANVIER1">#REF!</definedName>
    <definedName name="JANVIER2">#REF!</definedName>
    <definedName name="JANVIER2020">#REF!</definedName>
    <definedName name="JANVIER202N">#REF!</definedName>
    <definedName name="JANVIER202N1JO">#REF!</definedName>
    <definedName name="JANVIER202NJC">#REF!</definedName>
    <definedName name="JANVIER202NJO">#REF!</definedName>
    <definedName name="JUI202NJ0">#REF!</definedName>
    <definedName name="JUIL202NJO">#REF!</definedName>
    <definedName name="JUILLET">#REF!</definedName>
    <definedName name="JUILLET1">#REF!</definedName>
    <definedName name="JUILLET202N">#REF!</definedName>
    <definedName name="JUILLET202NJO">#REF!</definedName>
    <definedName name="JUIN">#REF!</definedName>
    <definedName name="JUIN1">#REF!</definedName>
    <definedName name="JUIN202N">#REF!</definedName>
    <definedName name="JUIN202NJO">#REF!</definedName>
    <definedName name="JUNE202NJO">#REF!</definedName>
    <definedName name="MAI">#REF!</definedName>
    <definedName name="MAI202N">#REF!</definedName>
    <definedName name="MAI202NJO">#REF!</definedName>
    <definedName name="MARCH202NJO">#REF!</definedName>
    <definedName name="MARS">#REF!</definedName>
    <definedName name="MARS1">#REF!</definedName>
    <definedName name="MARS202N">#REF!</definedName>
    <definedName name="MARS202NJO">#REF!</definedName>
    <definedName name="MAY202NJO">#REF!</definedName>
    <definedName name="MOISMAI">#REF!</definedName>
    <definedName name="NOV202NJO">#REF!</definedName>
    <definedName name="NOVEMBRE">#REF!</definedName>
    <definedName name="NOVEMBRE202N">#REF!</definedName>
    <definedName name="NOVEMBRE202NJO">#REF!</definedName>
    <definedName name="OCT202NJO">#REF!</definedName>
    <definedName name="OCTOBRE">#REF!</definedName>
    <definedName name="OCTOBRE202N">#REF!</definedName>
    <definedName name="OCTOBRE202NJO">#REF!</definedName>
    <definedName name="SEPT202NJO">#REF!</definedName>
    <definedName name="SEPTEMBRE">#REF!</definedName>
    <definedName name="SEPTEMBRE1">#REF!</definedName>
    <definedName name="SEPTEMBRE202N">#REF!</definedName>
    <definedName name="SEPTEMBRE202NJ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88" i="1" l="1"/>
  <c r="C346" i="1"/>
  <c r="C350" i="1" s="1"/>
  <c r="C347" i="1"/>
  <c r="C348" i="1"/>
  <c r="C352" i="1" s="1"/>
  <c r="C353" i="1" s="1"/>
  <c r="C349" i="1"/>
  <c r="B350" i="1"/>
  <c r="B352" i="1"/>
  <c r="B353" i="1" s="1"/>
  <c r="B355" i="1"/>
  <c r="C355" i="1"/>
  <c r="B362" i="1"/>
  <c r="C362" i="1"/>
  <c r="D362" i="1"/>
  <c r="E362" i="1"/>
  <c r="F362" i="1"/>
  <c r="G362" i="1"/>
  <c r="H362" i="1"/>
  <c r="I362" i="1"/>
  <c r="B364" i="1"/>
  <c r="C364" i="1"/>
  <c r="D364" i="1"/>
  <c r="E364" i="1"/>
  <c r="F364" i="1"/>
  <c r="G364" i="1"/>
  <c r="H364" i="1"/>
  <c r="I364" i="1"/>
  <c r="B365" i="1"/>
  <c r="C365" i="1"/>
  <c r="D365" i="1"/>
  <c r="E365" i="1"/>
  <c r="F365" i="1"/>
  <c r="G365" i="1"/>
  <c r="H365" i="1"/>
  <c r="I365" i="1"/>
  <c r="B367" i="1"/>
  <c r="C367" i="1"/>
  <c r="D367" i="1"/>
  <c r="E367" i="1"/>
  <c r="F367" i="1"/>
  <c r="G367" i="1"/>
  <c r="H367" i="1"/>
  <c r="I367" i="1"/>
  <c r="H375" i="1"/>
  <c r="I375" i="1"/>
  <c r="H377" i="1"/>
  <c r="H378" i="1" s="1"/>
  <c r="I377" i="1"/>
  <c r="I378" i="1"/>
  <c r="H380" i="1"/>
  <c r="I380" i="1"/>
  <c r="C24" i="10"/>
  <c r="C23" i="10"/>
  <c r="G220" i="1"/>
  <c r="C35" i="9"/>
  <c r="H30" i="9"/>
  <c r="F173" i="1"/>
  <c r="H29" i="9"/>
  <c r="H28" i="10"/>
  <c r="D9" i="10"/>
  <c r="F31" i="1"/>
  <c r="F32" i="1" s="1"/>
  <c r="D8" i="10"/>
  <c r="D7" i="10"/>
  <c r="C18" i="4"/>
  <c r="A7" i="9"/>
  <c r="A6" i="9"/>
  <c r="A5" i="9"/>
  <c r="A10" i="9" s="1"/>
  <c r="C28" i="9"/>
  <c r="C27" i="9"/>
  <c r="C26" i="9"/>
  <c r="C31" i="9" s="1"/>
  <c r="C25" i="10" l="1"/>
  <c r="H31" i="9"/>
  <c r="D10" i="10"/>
  <c r="F184" i="1" l="1"/>
  <c r="F183" i="1"/>
  <c r="F182" i="1"/>
  <c r="E38" i="1"/>
  <c r="E39" i="1"/>
  <c r="E40" i="1"/>
  <c r="E42" i="1"/>
  <c r="E37" i="1"/>
  <c r="E21" i="1"/>
  <c r="F79" i="1"/>
  <c r="F71" i="1"/>
  <c r="F72" i="1"/>
  <c r="F74" i="1"/>
  <c r="F70" i="1"/>
  <c r="F43" i="1"/>
  <c r="E32" i="1"/>
  <c r="G43" i="1"/>
  <c r="E43" i="1" l="1"/>
  <c r="F80" i="1"/>
  <c r="F75" i="1"/>
  <c r="H121" i="1" l="1"/>
  <c r="C45" i="10" l="1"/>
  <c r="D50" i="10" s="1"/>
  <c r="J30" i="10"/>
  <c r="J37" i="10" s="1"/>
  <c r="E265" i="1"/>
  <c r="E253" i="1"/>
  <c r="E255" i="1" s="1"/>
  <c r="E251" i="1"/>
  <c r="F197" i="1"/>
  <c r="E131" i="1"/>
  <c r="H127" i="1" s="1"/>
  <c r="H66" i="1" l="1"/>
  <c r="E66" i="1"/>
  <c r="E202" i="1"/>
  <c r="F204" i="1" s="1"/>
  <c r="H179" i="1"/>
  <c r="F165" i="1"/>
  <c r="F181" i="1" s="1"/>
  <c r="F186" i="1" s="1"/>
  <c r="F172" i="1"/>
  <c r="E204" i="1" l="1"/>
  <c r="F174" i="1"/>
  <c r="C9" i="4"/>
  <c r="C34" i="4" l="1"/>
  <c r="C23" i="4"/>
  <c r="B13" i="4"/>
  <c r="C6" i="4"/>
  <c r="C8" i="4" s="1"/>
  <c r="E5" i="4"/>
  <c r="E247" i="1"/>
  <c r="E250" i="1" s="1"/>
  <c r="G221" i="1"/>
  <c r="I141" i="1"/>
  <c r="I142" i="1" s="1"/>
  <c r="I134" i="1"/>
  <c r="I136" i="1" s="1"/>
  <c r="H129" i="1"/>
  <c r="H123" i="1"/>
  <c r="G105" i="1" s="1"/>
  <c r="G106" i="1" s="1"/>
  <c r="G107" i="1" s="1"/>
  <c r="G98" i="1"/>
  <c r="G99" i="1" s="1"/>
  <c r="G100" i="1" s="1"/>
  <c r="C24" i="4"/>
  <c r="C37" i="4"/>
  <c r="C10" i="4" l="1"/>
  <c r="C38" i="4"/>
  <c r="C26" i="4"/>
  <c r="C7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B82" authorId="0" shapeId="0" xr:uid="{497D481F-4F4E-4C23-BA7E-3F0884CD48C6}">
      <text>
        <r>
          <rPr>
            <b/>
            <sz val="9"/>
            <color indexed="81"/>
            <rFont val="Tahoma"/>
            <family val="2"/>
          </rPr>
          <t>Bienvenue: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<sst xmlns="http://schemas.openxmlformats.org/spreadsheetml/2006/main" count="428" uniqueCount="348">
  <si>
    <t xml:space="preserve">Les Problématiques Paie du FORFAIT JOURS </t>
  </si>
  <si>
    <t xml:space="preserve">Le FORFAIT JOURS </t>
  </si>
  <si>
    <t xml:space="preserve">Rappel : La mention Forfait Jours avec le nombre de jours prévus dans le contrat doit obligatoirement figurer sur le bulletin de paie. </t>
  </si>
  <si>
    <r>
      <t xml:space="preserve">1. </t>
    </r>
    <r>
      <rPr>
        <sz val="12"/>
        <color rgb="FF000000"/>
        <rFont val="Times New Roman"/>
        <family val="1"/>
      </rPr>
      <t>La loi fixe comme</t>
    </r>
    <r>
      <rPr>
        <b/>
        <sz val="12"/>
        <color rgb="FF000000"/>
        <rFont val="Times New Roman"/>
        <family val="1"/>
      </rPr>
      <t xml:space="preserve"> norme </t>
    </r>
    <r>
      <rPr>
        <sz val="12"/>
        <color rgb="FF000000"/>
        <rFont val="Times New Roman"/>
        <family val="1"/>
      </rPr>
      <t xml:space="preserve">un forfait de </t>
    </r>
    <r>
      <rPr>
        <b/>
        <sz val="12"/>
        <color rgb="FF000000"/>
        <rFont val="Times New Roman"/>
        <family val="1"/>
      </rPr>
      <t>218 jours sur l'année.</t>
    </r>
  </si>
  <si>
    <t xml:space="preserve">Ce nombre de jours travaillés résulte du calcul suivant : </t>
  </si>
  <si>
    <t>Nombre de jours dans l'année</t>
  </si>
  <si>
    <t xml:space="preserve">Nombre de Samedis et Dimanches </t>
  </si>
  <si>
    <t xml:space="preserve">Cela peut également différer d'une année sur l'autre </t>
  </si>
  <si>
    <t>Nombre de Jours ouvrés de Congés Payés</t>
  </si>
  <si>
    <t xml:space="preserve">Jours de repos </t>
  </si>
  <si>
    <t xml:space="preserve">Journée de solidarité </t>
  </si>
  <si>
    <t xml:space="preserve">2. Comment fixer le nombre de jours de repos </t>
  </si>
  <si>
    <t xml:space="preserve">La fixation du nombre de jours  de repos figurant dans les accords  s'inspire des calculs suivants </t>
  </si>
  <si>
    <t xml:space="preserve">11. Décompte des jours de travail sur une année </t>
  </si>
  <si>
    <t xml:space="preserve">Jour de l'an </t>
  </si>
  <si>
    <t xml:space="preserve">Lundi de Pâques </t>
  </si>
  <si>
    <t xml:space="preserve">Fête du Travail </t>
  </si>
  <si>
    <t xml:space="preserve">Victoire des alliés </t>
  </si>
  <si>
    <t xml:space="preserve">Jeudi de l'Ascension </t>
  </si>
  <si>
    <t xml:space="preserve">Lundi de Pentecôte </t>
  </si>
  <si>
    <t xml:space="preserve">Fête nationale </t>
  </si>
  <si>
    <t xml:space="preserve">Assomption </t>
  </si>
  <si>
    <t xml:space="preserve">La Toussaint </t>
  </si>
  <si>
    <t xml:space="preserve">Armistice </t>
  </si>
  <si>
    <t xml:space="preserve">Noël </t>
  </si>
  <si>
    <t xml:space="preserve">Samedis et Dimanches </t>
  </si>
  <si>
    <t>Jours ouvrés de congés payés</t>
  </si>
  <si>
    <t xml:space="preserve">Jours travaillés </t>
  </si>
  <si>
    <t xml:space="preserve">3. les absences pour grève </t>
  </si>
  <si>
    <t xml:space="preserve">Les absences pour fait de grève supposent une retenue sur salaire qui doit être effectuée en déterminant un salaire horaire fictif. </t>
  </si>
  <si>
    <t>Cette règle n’est valable qu’à défaut de précision dans l’accord collectif.</t>
  </si>
  <si>
    <t xml:space="preserve">Un accord collectif peut prévoir que toute absence inférieure à 1 journée ne fera l'objet d'aucune retenue sur salaire auquel cas  même en cas de grève </t>
  </si>
  <si>
    <t xml:space="preserve">aucune retenue ne sera effectuée. </t>
  </si>
  <si>
    <t>La cour de cassation dans un arrêt de 2008 avait fixé un mode de calcul de la retenue  que vous trouvez ci-après.</t>
  </si>
  <si>
    <t xml:space="preserve">Exemple 1. </t>
  </si>
  <si>
    <t>Un salarié soumis à un forfait de 218 jours pour une rémunération de 40 000 €,</t>
  </si>
  <si>
    <t xml:space="preserve">La durée du travail est  fixée à 35 heures réparties sur 5 jours, soit 7 heures par jour. </t>
  </si>
  <si>
    <t xml:space="preserve"> S'il fait grève 3 heures pendant la journée, la retenue sera égale à </t>
  </si>
  <si>
    <t xml:space="preserve">Salaire journalier </t>
  </si>
  <si>
    <t xml:space="preserve">40 000 /218 = </t>
  </si>
  <si>
    <t>Salaire horaire</t>
  </si>
  <si>
    <t xml:space="preserve">183, 49 / 7 </t>
  </si>
  <si>
    <t xml:space="preserve">3 heures de grève </t>
  </si>
  <si>
    <t xml:space="preserve">Exemple 2. </t>
  </si>
  <si>
    <t xml:space="preserve">Mêmes hypothèses mais le salarié  est soumis à un forfait jours de 210 jours </t>
  </si>
  <si>
    <t xml:space="preserve">On proratise son horaire mensuel  </t>
  </si>
  <si>
    <t>151,67 * 210 / 218</t>
  </si>
  <si>
    <t>On calcule l'horaire annuel</t>
  </si>
  <si>
    <t>146,10 *12</t>
  </si>
  <si>
    <t xml:space="preserve">On divise le salaire annuel par le nombre d'heures </t>
  </si>
  <si>
    <t xml:space="preserve">On multiplie le résultat par le nombre d'heures d'absence ( 3 h) </t>
  </si>
  <si>
    <t xml:space="preserve">4. Absences d'au moins 1 journée </t>
  </si>
  <si>
    <t xml:space="preserve">Méthode 1 </t>
  </si>
  <si>
    <t xml:space="preserve">Pour fixer la retenue d'un  forfait de 218 jours (qui tient compte de la journée de solidarité) </t>
  </si>
  <si>
    <t>compte tenu de 5 semaines de congés payés</t>
  </si>
  <si>
    <t xml:space="preserve">Si un salarié perçoit  un salaire annuel de 40 000 euros pour un forfait de 218 jours s'absente 1 semaine. </t>
  </si>
  <si>
    <t xml:space="preserve">* Pour obtenir la retenue pour absence on multipliera le résultat ci-dessus par 5 </t>
  </si>
  <si>
    <t xml:space="preserve">40 000 / 261 = </t>
  </si>
  <si>
    <t xml:space="preserve">153,26 * 5 = </t>
  </si>
  <si>
    <t xml:space="preserve">Méthode 2 </t>
  </si>
  <si>
    <t xml:space="preserve">40 000 /12  = </t>
  </si>
  <si>
    <t xml:space="preserve">En DSN on prend une moyenne de 21,67 jours par mois , donc par jour on retient </t>
  </si>
  <si>
    <t xml:space="preserve">Si le salarié s'est absenté  5 jours , la retenue sera de </t>
  </si>
  <si>
    <t xml:space="preserve">NB. Au  lieu du forfait de 21, 67 on peut prendre le nombre de jours réels du mois </t>
  </si>
  <si>
    <t>Méthode 3</t>
  </si>
  <si>
    <t xml:space="preserve">On prend le salaire annuel </t>
  </si>
  <si>
    <t xml:space="preserve">On divise le salaire annuel par le nombre de jours prévus au forfait </t>
  </si>
  <si>
    <t>40 000 /218</t>
  </si>
  <si>
    <t>On multiplie le résultat par le nombre de jours d'absence</t>
  </si>
  <si>
    <t>On constate que dans la Méthode 3 la retenue pour absence est sur-valorisée. Les Méthodes 1 et 2 sont plus proches l'une de l'autre.</t>
  </si>
  <si>
    <t>51. Combien de jours de travail un salarié en forfait jours doit -t-il à son employeur en cas d'entrée en cours d'année ?</t>
  </si>
  <si>
    <t xml:space="preserve">Méthode 1. </t>
  </si>
  <si>
    <t xml:space="preserve">Méthode simplifiée ( donnée à titre informatif) </t>
  </si>
  <si>
    <t xml:space="preserve">Nombre de Samedis et Dimanches sur cette période </t>
  </si>
  <si>
    <t xml:space="preserve">Jours fériés sur cette période  tombant en semaine </t>
  </si>
  <si>
    <t xml:space="preserve">Droits aux congés = 0 (le salarié vient d'être embauché) </t>
  </si>
  <si>
    <t>Nombre de  jours de repos auxquels il peut prétendre sur cette période</t>
  </si>
  <si>
    <t xml:space="preserve">52. A combien de jours de repos peut-t-il prétendre sur cette période ? </t>
  </si>
  <si>
    <t>Le tableau ci-dessus indique la méthode de proratisation utilisée.</t>
  </si>
  <si>
    <t xml:space="preserve">Le salarié a un contrat de 218 jours </t>
  </si>
  <si>
    <t xml:space="preserve">Cette méthode - simplifiée - ne tient pas compte des jours de congés non pris par le salarié </t>
  </si>
  <si>
    <t>53. Combien de jours de travail un salarié en forfait jours doit -t-il à son employeur en cas d'entrée en cours d'année ?</t>
  </si>
  <si>
    <t xml:space="preserve">La méthode qui suit prend en compte le nombre de jours de congés non acquis dans la proratisation </t>
  </si>
  <si>
    <t xml:space="preserve">des jours de travail dus par le salarié. </t>
  </si>
  <si>
    <t xml:space="preserve">Compteur </t>
  </si>
  <si>
    <t xml:space="preserve">Date de début de l'arrêt </t>
  </si>
  <si>
    <t xml:space="preserve">Date de fin de l'arrêt </t>
  </si>
  <si>
    <t xml:space="preserve">Nombre de jours calendaires </t>
  </si>
  <si>
    <t xml:space="preserve">Nombre de Samedis </t>
  </si>
  <si>
    <t xml:space="preserve">Nombre de jours ouvrables </t>
  </si>
  <si>
    <t>Nombre de jours ouvrés</t>
  </si>
  <si>
    <t xml:space="preserve">2. Détermination du nombre de jours de congés payés non  acquis </t>
  </si>
  <si>
    <t xml:space="preserve">Les régles d'arrondi applicables font que ce nombre de congés acquis est de 3 jours </t>
  </si>
  <si>
    <t xml:space="preserve">Pour un décompte des congés en jours ouvrés il a donc sur cette période 25 - 3  = 22 jours ouvrés de CP </t>
  </si>
  <si>
    <t xml:space="preserve">On prend ici l'hypothèse que la journée de solidarité est due sur la période. </t>
  </si>
  <si>
    <t xml:space="preserve">jours de travail </t>
  </si>
  <si>
    <t>Nombre de samedis et dimanches</t>
  </si>
  <si>
    <t>Congés payés acquis</t>
  </si>
  <si>
    <t>Jours fériés tombant 1 jour ouvré</t>
  </si>
  <si>
    <t xml:space="preserve"> les règles d'arrondi à respecter.</t>
  </si>
  <si>
    <t xml:space="preserve">Méthode 3 </t>
  </si>
  <si>
    <t>Solution alternative</t>
  </si>
  <si>
    <t xml:space="preserve">Dans telle convention qui prévoit que les congés acquis sur la période de référence  2019 / 2020 soient pris avant le 31 Décembre  2020 </t>
  </si>
  <si>
    <t xml:space="preserve">un calcul des congés non acquis différent est proposé. </t>
  </si>
  <si>
    <r>
      <t xml:space="preserve">Mercredi </t>
    </r>
    <r>
      <rPr>
        <b/>
        <sz val="11"/>
        <color rgb="FF000000"/>
        <rFont val="Calibri"/>
        <family val="2"/>
        <charset val="1"/>
      </rPr>
      <t>25 décembre 2019</t>
    </r>
    <r>
      <rPr>
        <sz val="11"/>
        <color theme="1"/>
        <rFont val="Calibri"/>
        <family val="2"/>
        <scheme val="minor"/>
      </rPr>
      <t xml:space="preserve"> : Noël</t>
    </r>
  </si>
  <si>
    <t>Soit un salarié entré le 01/11/2020</t>
  </si>
  <si>
    <t xml:space="preserve">1.  Détermination du nombre de jours de congés payés non  acquis </t>
  </si>
  <si>
    <t xml:space="preserve">Le salarié étant entré dans l'entreprise le 01/11/2020 </t>
  </si>
  <si>
    <t xml:space="preserve">Le tableau ci-dessus donne 4, 17 , il fait le calcul 25*2/12 = 4, 17 ( arrondi 2 chiffres après la virgule) </t>
  </si>
  <si>
    <t>25 jours ouvrés de CP pour 12  mois donc si 2 mois de travail 25*2/12</t>
  </si>
  <si>
    <t>et n'a pas acquis le complément à  25 soit  25 -4,17  =20,83</t>
  </si>
  <si>
    <t>Les forfaits jours étant sur une base de 216 jours ce salarié a un forfait  annuel de 216 + 20,83 = 236,83</t>
  </si>
  <si>
    <t xml:space="preserve">3. Sur la période qui va du 01/11/2020 au 31/12/ 2020 combien de jours de travail doit-t-il à son employeur ? </t>
  </si>
  <si>
    <t xml:space="preserve">Sur la période du 01/11/2020 au 31/12/2020   il y a  2  mois </t>
  </si>
  <si>
    <t xml:space="preserve">(216 + 20,83 ) *  2 / 12  = </t>
  </si>
  <si>
    <t xml:space="preserve">Avec une convention d'arrondi à </t>
  </si>
  <si>
    <t xml:space="preserve">Il doit donc </t>
  </si>
  <si>
    <t xml:space="preserve">39,5 jours de travail </t>
  </si>
  <si>
    <t>4. Nombre de jours de repos sur la période du 01/11/2020 au 31/12/2020</t>
  </si>
  <si>
    <t>Décembre</t>
  </si>
  <si>
    <t xml:space="preserve">Novembre </t>
  </si>
  <si>
    <t>Octobre</t>
  </si>
  <si>
    <t xml:space="preserve">Septembre </t>
  </si>
  <si>
    <t>Août</t>
  </si>
  <si>
    <t>Juillet</t>
  </si>
  <si>
    <t>Juin</t>
  </si>
  <si>
    <t>Mai</t>
  </si>
  <si>
    <t>Avril</t>
  </si>
  <si>
    <t>Mars</t>
  </si>
  <si>
    <t>Février</t>
  </si>
  <si>
    <t>Janvier</t>
  </si>
  <si>
    <t xml:space="preserve">Nombre de jours potentiellement dus </t>
  </si>
  <si>
    <t xml:space="preserve">Arrondi </t>
  </si>
  <si>
    <t xml:space="preserve">CP non acquis </t>
  </si>
  <si>
    <t xml:space="preserve">Nombre de jours dus </t>
  </si>
  <si>
    <t xml:space="preserve">Convention d'arrondis (tableau) </t>
  </si>
  <si>
    <r>
      <rPr>
        <sz val="11"/>
        <color theme="1"/>
        <rFont val="Calibri"/>
        <family val="2"/>
        <scheme val="minor"/>
      </rPr>
      <t xml:space="preserve">LES ZONES EN </t>
    </r>
    <r>
      <rPr>
        <b/>
        <sz val="10"/>
        <rFont val="Arial"/>
        <family val="2"/>
        <charset val="1"/>
      </rPr>
      <t>JAUNE</t>
    </r>
    <r>
      <rPr>
        <sz val="11"/>
        <color theme="1"/>
        <rFont val="Calibri"/>
        <family val="2"/>
        <scheme val="minor"/>
      </rPr>
      <t xml:space="preserve"> SONT  LES</t>
    </r>
    <r>
      <rPr>
        <b/>
        <sz val="10"/>
        <rFont val="Arial"/>
        <family val="2"/>
        <charset val="1"/>
      </rPr>
      <t xml:space="preserve"> ZONES DE SAISIE</t>
    </r>
    <r>
      <rPr>
        <sz val="11"/>
        <color theme="1"/>
        <rFont val="Calibri"/>
        <family val="2"/>
        <scheme val="minor"/>
      </rPr>
      <t xml:space="preserve"> LES ZONES EN</t>
    </r>
    <r>
      <rPr>
        <b/>
        <sz val="10"/>
        <rFont val="Arial"/>
        <family val="2"/>
        <charset val="1"/>
      </rPr>
      <t xml:space="preserve"> BLEU </t>
    </r>
    <r>
      <rPr>
        <sz val="11"/>
        <color theme="1"/>
        <rFont val="Calibri"/>
        <family val="2"/>
        <scheme val="minor"/>
      </rPr>
      <t xml:space="preserve">LES ZONES DE </t>
    </r>
    <r>
      <rPr>
        <b/>
        <sz val="10"/>
        <rFont val="Arial"/>
        <family val="2"/>
        <charset val="1"/>
      </rPr>
      <t>CALCUL AUTOMATISE</t>
    </r>
    <r>
      <rPr>
        <sz val="11"/>
        <color theme="1"/>
        <rFont val="Calibri"/>
        <family val="2"/>
        <scheme val="minor"/>
      </rPr>
      <t xml:space="preserve"> LES ZONES EN</t>
    </r>
    <r>
      <rPr>
        <b/>
        <sz val="10"/>
        <rFont val="Arial"/>
        <family val="2"/>
        <charset val="1"/>
      </rPr>
      <t xml:space="preserve"> ORANGE</t>
    </r>
    <r>
      <rPr>
        <sz val="11"/>
        <color theme="1"/>
        <rFont val="Calibri"/>
        <family val="2"/>
        <scheme val="minor"/>
      </rPr>
      <t xml:space="preserve"> DES ZONES DE </t>
    </r>
    <r>
      <rPr>
        <b/>
        <sz val="10"/>
        <rFont val="Arial"/>
        <family val="2"/>
        <charset val="1"/>
      </rPr>
      <t xml:space="preserve">CALCUL INTERMEDIAIRE </t>
    </r>
  </si>
  <si>
    <t xml:space="preserve">MATRICE  Détermination du nombre de jours calendaires, de jours ouvrables et de jours ouvrés  entre 2 dates </t>
  </si>
  <si>
    <t xml:space="preserve">!!! Ne rien saisir dans les zones en BLEU Seules les zones en Jaune doivent être renseignées </t>
  </si>
  <si>
    <t xml:space="preserve">MATRICE 3 VALORISATION ABSENCES </t>
  </si>
  <si>
    <t>EXEMPLE 1</t>
  </si>
  <si>
    <t xml:space="preserve">Date de début du mois </t>
  </si>
  <si>
    <t xml:space="preserve">Date de fin du mois </t>
  </si>
  <si>
    <t xml:space="preserve">Base de calcul absence </t>
  </si>
  <si>
    <t xml:space="preserve">Nombre de Samedis entre 2 dates </t>
  </si>
  <si>
    <t xml:space="preserve">Nombre de jours ouvrés  d'absence </t>
  </si>
  <si>
    <t xml:space="preserve">Nombre de jours ouvrables  d'absence </t>
  </si>
  <si>
    <t xml:space="preserve">Nombre d'heures réelles du mois </t>
  </si>
  <si>
    <t xml:space="preserve">Nombre d'heures réelles d'absence </t>
  </si>
  <si>
    <t xml:space="preserve">Retenue absence heures réelles du mois </t>
  </si>
  <si>
    <t xml:space="preserve">Nombre de jours ouvrés réels du mois </t>
  </si>
  <si>
    <t xml:space="preserve">Retenue absence jours ouvrés réels du mois </t>
  </si>
  <si>
    <t>Retenue absence 1 / 22</t>
  </si>
  <si>
    <t xml:space="preserve">Retenue absence 1/21,67 </t>
  </si>
  <si>
    <t xml:space="preserve">Nombre de jours calendaires réels du mois </t>
  </si>
  <si>
    <t xml:space="preserve">Retenue absence jours calendaires réels  du mois </t>
  </si>
  <si>
    <t xml:space="preserve">Retenue absence 1/ 30 éme </t>
  </si>
  <si>
    <t xml:space="preserve">Nombre de Samedis dans le mois </t>
  </si>
  <si>
    <t xml:space="preserve">Nombre de jours ouvrables  réels du mois </t>
  </si>
  <si>
    <t xml:space="preserve">Retenue absence jours ouvrables réels du mois </t>
  </si>
  <si>
    <t xml:space="preserve">Retenue absence 1/ 26 éme </t>
  </si>
  <si>
    <t xml:space="preserve">Cas des temps partiels. </t>
  </si>
  <si>
    <t xml:space="preserve">Cas de la sortie en cours de mois </t>
  </si>
  <si>
    <t xml:space="preserve">Heures supplémentaires des forfait jours </t>
  </si>
  <si>
    <t xml:space="preserve">Plafond mensuel de la SS </t>
  </si>
  <si>
    <t xml:space="preserve">Comme il est entré le 01/07 on effectue un prorata (par exemple sur les jours calendaires) </t>
  </si>
  <si>
    <t xml:space="preserve">NB. Certaines conventions effectuent un calcul différent  en incluant  les jours de repos </t>
  </si>
  <si>
    <t>On divise le salaire  annuel par  12</t>
  </si>
  <si>
    <t>Nombre de jours  calendaires entre le 01/07 et le 31/12</t>
  </si>
  <si>
    <t xml:space="preserve">Nombre de jours ouvrés </t>
  </si>
  <si>
    <t>La loi ne précise pas la méthode de calcul à adopter pour déterminer le nombre de jours travaillés des salariés entrés ou sortis en cours d’année.</t>
  </si>
  <si>
    <t>Afin de déterminer le nombre de jours de travail pour le reste de l'année, il conviendra de soustraire au nombre de jours calendaires restant à courir :</t>
  </si>
  <si>
    <t>– le nombre de samedis et de dimanches ;</t>
  </si>
  <si>
    <t>– le prorata du nombre de congés supplémentaires pour l'année considérée.</t>
  </si>
  <si>
    <t>Afin de déterminer le nombre de jours travaillés de référence, il convient de soustraire au nombre de jours calendaires écoulés dans l'année considérée avant le départ :</t>
  </si>
  <si>
    <t>– les jours fériés coïncidant avec un jour ouvré depuis le début d'année ;</t>
  </si>
  <si>
    <t xml:space="preserve">Date d'embauche </t>
  </si>
  <si>
    <t xml:space="preserve">Dernier jour de l'année </t>
  </si>
  <si>
    <t xml:space="preserve">Nombre de jours calendaires de présence </t>
  </si>
  <si>
    <t xml:space="preserve">1 er jour de l'année </t>
  </si>
  <si>
    <t xml:space="preserve">1 er jour  de l'année </t>
  </si>
  <si>
    <t>Nombre de jours ouvrés de présence</t>
  </si>
  <si>
    <t xml:space="preserve">Nombre de Samedis et de Dimanches entre 2 dates </t>
  </si>
  <si>
    <t xml:space="preserve">2. Retrait des samedis et dimanches restants : 253 – 72 (samedis et dimanches) = 181 </t>
  </si>
  <si>
    <t xml:space="preserve">– le nombre de jours fériés coïncidant avec un jour ouvré à échoir avant la fin de l'année </t>
  </si>
  <si>
    <t xml:space="preserve">5. Entrée  en cours de mois </t>
  </si>
  <si>
    <t>6. Départ en cours d'année</t>
  </si>
  <si>
    <t xml:space="preserve">Date  de sortie </t>
  </si>
  <si>
    <t>12. Pour un forfait de 216  jours (qui intégre la journée de solidarité) le nombre de jours de repos sera obtenu par différence</t>
  </si>
  <si>
    <t xml:space="preserve">227 -216 = </t>
  </si>
  <si>
    <t xml:space="preserve">Plus 1  Journée de solidarité </t>
  </si>
  <si>
    <t xml:space="preserve"> + 1</t>
  </si>
  <si>
    <t>Cependant, depuis la loi Travail, c’est l’accord collectif qui doit fixer les conditions de prise en compte pour la rémunération des salariés, des arrivées et des départs en cours de période.</t>
  </si>
  <si>
    <t>Cellule 153</t>
  </si>
  <si>
    <t>Cellule 154</t>
  </si>
  <si>
    <t>=F155-F156</t>
  </si>
  <si>
    <t>=NB.JOURS.OUVRES(F175;F174)</t>
  </si>
  <si>
    <t xml:space="preserve">Mais une entreprise peut très bien fixer avec ses salariés un forfait de 216 jours. Dans ce cas le salarié aura droit à des jours de repos supplémentaires. </t>
  </si>
  <si>
    <r>
      <t xml:space="preserve">Dimanche </t>
    </r>
    <r>
      <rPr>
        <b/>
        <sz val="10"/>
        <color rgb="FF000000"/>
        <rFont val="Calibri"/>
        <family val="2"/>
        <charset val="1"/>
      </rPr>
      <t>1er janvier 2023</t>
    </r>
    <r>
      <rPr>
        <sz val="10"/>
        <color rgb="FF000000"/>
        <rFont val="Calibri"/>
        <family val="2"/>
        <charset val="1"/>
      </rPr>
      <t xml:space="preserve"> : Jour de l’An</t>
    </r>
  </si>
  <si>
    <r>
      <t xml:space="preserve">Lundi </t>
    </r>
    <r>
      <rPr>
        <b/>
        <sz val="10"/>
        <color rgb="FF000000"/>
        <rFont val="Calibri"/>
        <family val="2"/>
        <charset val="1"/>
      </rPr>
      <t>10 avril</t>
    </r>
    <r>
      <rPr>
        <sz val="10"/>
        <color rgb="FF000000"/>
        <rFont val="Calibri"/>
        <family val="2"/>
        <charset val="1"/>
      </rPr>
      <t xml:space="preserve"> : Pâques</t>
    </r>
  </si>
  <si>
    <r>
      <t xml:space="preserve">Lundi </t>
    </r>
    <r>
      <rPr>
        <b/>
        <sz val="10"/>
        <color rgb="FF000000"/>
        <rFont val="Calibri"/>
        <family val="2"/>
        <charset val="1"/>
      </rPr>
      <t>1er mai</t>
    </r>
    <r>
      <rPr>
        <sz val="10"/>
        <color rgb="FF000000"/>
        <rFont val="Calibri"/>
        <family val="2"/>
        <charset val="1"/>
      </rPr>
      <t xml:space="preserve"> : fête du Travail</t>
    </r>
  </si>
  <si>
    <r>
      <t xml:space="preserve">Lundi  </t>
    </r>
    <r>
      <rPr>
        <b/>
        <sz val="10"/>
        <color rgb="FF000000"/>
        <rFont val="Calibri"/>
        <family val="2"/>
        <charset val="1"/>
      </rPr>
      <t>8 mai</t>
    </r>
    <r>
      <rPr>
        <sz val="10"/>
        <color rgb="FF000000"/>
        <rFont val="Calibri"/>
        <family val="2"/>
        <charset val="1"/>
      </rPr>
      <t xml:space="preserve"> : Victoire 1945</t>
    </r>
  </si>
  <si>
    <r>
      <t>Jeudi 18</t>
    </r>
    <r>
      <rPr>
        <b/>
        <sz val="10"/>
        <color rgb="FF000000"/>
        <rFont val="Calibri"/>
        <family val="2"/>
        <charset val="1"/>
      </rPr>
      <t xml:space="preserve"> mai</t>
    </r>
    <r>
      <rPr>
        <sz val="10"/>
        <color rgb="FF000000"/>
        <rFont val="Calibri"/>
        <family val="2"/>
        <charset val="1"/>
      </rPr>
      <t xml:space="preserve"> : Ascension</t>
    </r>
  </si>
  <si>
    <r>
      <t xml:space="preserve">Lundi </t>
    </r>
    <r>
      <rPr>
        <b/>
        <sz val="10"/>
        <color rgb="FF000000"/>
        <rFont val="Calibri"/>
        <family val="2"/>
        <charset val="1"/>
      </rPr>
      <t>29 Mai</t>
    </r>
    <r>
      <rPr>
        <sz val="10"/>
        <color rgb="FF000000"/>
        <rFont val="Calibri"/>
        <family val="2"/>
        <charset val="1"/>
      </rPr>
      <t xml:space="preserve"> : Pentecôte</t>
    </r>
  </si>
  <si>
    <r>
      <rPr>
        <b/>
        <sz val="10"/>
        <color rgb="FF000000"/>
        <rFont val="Calibri"/>
        <family val="2"/>
        <charset val="1"/>
      </rPr>
      <t>Vendredi 14 juillet</t>
    </r>
    <r>
      <rPr>
        <sz val="10"/>
        <color rgb="FF000000"/>
        <rFont val="Calibri"/>
        <family val="2"/>
        <charset val="1"/>
      </rPr>
      <t xml:space="preserve"> : Fête nationale</t>
    </r>
  </si>
  <si>
    <r>
      <t xml:space="preserve">Mardi  </t>
    </r>
    <r>
      <rPr>
        <b/>
        <sz val="10"/>
        <color rgb="FF000000"/>
        <rFont val="Calibri"/>
        <family val="2"/>
        <charset val="1"/>
      </rPr>
      <t>15 août</t>
    </r>
    <r>
      <rPr>
        <sz val="10"/>
        <color rgb="FF000000"/>
        <rFont val="Calibri"/>
        <family val="2"/>
        <charset val="1"/>
      </rPr>
      <t xml:space="preserve"> : Assomption</t>
    </r>
  </si>
  <si>
    <r>
      <t xml:space="preserve">Mercredi  </t>
    </r>
    <r>
      <rPr>
        <b/>
        <sz val="10"/>
        <color rgb="FF000000"/>
        <rFont val="Calibri"/>
        <family val="2"/>
        <charset val="1"/>
      </rPr>
      <t>1er novembre</t>
    </r>
    <r>
      <rPr>
        <sz val="10"/>
        <color rgb="FF000000"/>
        <rFont val="Calibri"/>
        <family val="2"/>
        <charset val="1"/>
      </rPr>
      <t xml:space="preserve"> : Toussaint</t>
    </r>
  </si>
  <si>
    <r>
      <t xml:space="preserve">Samedi </t>
    </r>
    <r>
      <rPr>
        <b/>
        <sz val="10"/>
        <color rgb="FF000000"/>
        <rFont val="Calibri"/>
        <family val="2"/>
        <charset val="1"/>
      </rPr>
      <t>11 novembre</t>
    </r>
    <r>
      <rPr>
        <sz val="10"/>
        <color rgb="FF000000"/>
        <rFont val="Calibri"/>
        <family val="2"/>
        <charset val="1"/>
      </rPr>
      <t xml:space="preserve"> : Armistice 1918</t>
    </r>
  </si>
  <si>
    <r>
      <t xml:space="preserve">Lundi  </t>
    </r>
    <r>
      <rPr>
        <b/>
        <sz val="10"/>
        <color rgb="FF000000"/>
        <rFont val="Calibri"/>
        <family val="2"/>
        <charset val="1"/>
      </rPr>
      <t xml:space="preserve">25 décembre </t>
    </r>
    <r>
      <rPr>
        <sz val="10"/>
        <color rgb="FF000000"/>
        <rFont val="Calibri"/>
        <family val="2"/>
        <charset val="1"/>
      </rPr>
      <t xml:space="preserve"> : Noël</t>
    </r>
  </si>
  <si>
    <t xml:space="preserve">Jours Fériés 2023  tombant 1 jour ouvré </t>
  </si>
  <si>
    <t xml:space="preserve">Jours Fériés 2024  tombant 1 jour ouvré </t>
  </si>
  <si>
    <t>Lundi 1er Janvier</t>
  </si>
  <si>
    <t>Lundi 1 er  Avril</t>
  </si>
  <si>
    <t>Mercredi  1er Mai</t>
  </si>
  <si>
    <t>Mercredi  8 Mai</t>
  </si>
  <si>
    <t>Jeudi 9 Mai</t>
  </si>
  <si>
    <t xml:space="preserve">Lundi 20 Mai </t>
  </si>
  <si>
    <t>Dimanche 14 Juillet</t>
  </si>
  <si>
    <t>Jeudi  15 Août</t>
  </si>
  <si>
    <t>Vendredi  1er Novembre</t>
  </si>
  <si>
    <t>Lundi 11 Novembre</t>
  </si>
  <si>
    <t>Mercredi  25 Décembre</t>
  </si>
  <si>
    <t>Forfait de 216 jours  en 2023</t>
  </si>
  <si>
    <t>Méthode 2</t>
  </si>
  <si>
    <t>9   jours fériés tombant   un jour ouvré en 2023</t>
  </si>
  <si>
    <t>11 jours de repos en 2023</t>
  </si>
  <si>
    <t xml:space="preserve"> En 2024</t>
  </si>
  <si>
    <t xml:space="preserve">2024 est une année bissextile </t>
  </si>
  <si>
    <t>10   jours fériés tombant   un jour ouvré en 2024</t>
  </si>
  <si>
    <t>jours travaillés hors jours de repos en 2023</t>
  </si>
  <si>
    <t>jours travaillés hors jours de repos en 2024</t>
  </si>
  <si>
    <t>11  jours de repos (en 2023)</t>
  </si>
  <si>
    <t xml:space="preserve">Utilisez la feuille Val Absences </t>
  </si>
  <si>
    <t xml:space="preserve">A titre d'exemple, pour un salarié entré le 23 avril 2024  </t>
  </si>
  <si>
    <t xml:space="preserve">1. Calcul du nombre de jours calendaires entre ces 2 dates  = 253 </t>
  </si>
  <si>
    <t>Cellule 155</t>
  </si>
  <si>
    <t>=F155-F153+1</t>
  </si>
  <si>
    <t>=NB.JOURS.OUVRES(F153;F155)</t>
  </si>
  <si>
    <t xml:space="preserve">3. Retrait des jours fériés coïncidant avec un jour ouvré à échoir avant la fin de l'année : 181 – 8 = 173 ( cf le tableau des jours fériés en 2024) </t>
  </si>
  <si>
    <t>Nombre de jours fériés restant à échoir</t>
  </si>
  <si>
    <t>4. Proratisation  des jours de repos supplémentaires  : 173 –7  = 166  (le prorata se calculant comme suit : 10 × [253/366]).</t>
  </si>
  <si>
    <t>Nombre de jours de repos</t>
  </si>
  <si>
    <t>Nombre de jours de travail</t>
  </si>
  <si>
    <t>Cellule 183</t>
  </si>
  <si>
    <t>Cellule 184</t>
  </si>
  <si>
    <t>Cellule 185</t>
  </si>
  <si>
    <t>=D183-D184+1</t>
  </si>
  <si>
    <t xml:space="preserve">A titre d'exemple, pour un salarié partant le 23 avril (et présent toute l'année précédente) : 114 – 32 (samedis et dimanches) – 2 jours fériés (Lundi 1er  janvier et lundi de Pâques) </t>
  </si>
  <si>
    <t>– 4 jours de prorata des jours de repos supplémentaires (calculé comme suit 10 × [114/366]).</t>
  </si>
  <si>
    <t>Nombre de jours de repos pris</t>
  </si>
  <si>
    <t>Entrée le 01/07/2024</t>
  </si>
  <si>
    <t>Il y a 226 jours travaillés en 2024 ( cf le calcul effectué en 12.) hors jours de repos</t>
  </si>
  <si>
    <t xml:space="preserve">Il a donc droit à 8 jours de repos. </t>
  </si>
  <si>
    <t>Entrée  dans l'entreprise le 02/05/2024</t>
  </si>
  <si>
    <t>Cf matrice Val Abs.</t>
  </si>
  <si>
    <t xml:space="preserve">Nombre de Dimanches </t>
  </si>
  <si>
    <t xml:space="preserve">Nb. de Jours fériés sur cette période </t>
  </si>
  <si>
    <t xml:space="preserve">Le salarié a acquis 2,08 jours de congés sur la période de référence  2023/ 2024 </t>
  </si>
  <si>
    <t xml:space="preserve">3. Sur la période qui va du 02/05/2024  au 31/12/ 2024 combien de jours de travail doit-t-il à son employeur ? </t>
  </si>
  <si>
    <t xml:space="preserve">Sur la période du 02/05/2024 au 31/12/2024   il y a  174 jours ouvrés, jours fériés compris. </t>
  </si>
  <si>
    <t xml:space="preserve">Congés payés </t>
  </si>
  <si>
    <t>Sur cette période il y a   hors jours fériés      174 - 7 ( hors journée de solidarité) = 167  jours travaillés</t>
  </si>
  <si>
    <t xml:space="preserve">Le salarié doit donc à son employeur 168 jours de travail </t>
  </si>
  <si>
    <t xml:space="preserve">Pour 1 année complète </t>
  </si>
  <si>
    <t>Mais il acquis sur la période du 01/05 au 31/05 2,08 jours ouvrés de CP arrondis à 3 jours</t>
  </si>
  <si>
    <t xml:space="preserve">Il devra donc à son employeur 168 jours de CP mais aura un droit de 3 jours qu'il pourra exercer jusqu'au 31/05/2025. </t>
  </si>
  <si>
    <t xml:space="preserve">non acquis. (autant de jours de travail donc) </t>
  </si>
  <si>
    <t xml:space="preserve">Pour déterminer le nombre de jours de repos auxquels ce salarié peut prétendre, nous allons raisonner  de la façon suivante : </t>
  </si>
  <si>
    <t xml:space="preserve">Son forfait est donc de 218 + 22 = 240 jours </t>
  </si>
  <si>
    <t>8 jours de repos</t>
  </si>
  <si>
    <t>Nous obtenons donc : 218 jours + 25 jours + 10  jours= 253 jours.</t>
  </si>
  <si>
    <t>10 jours fériés</t>
  </si>
  <si>
    <t xml:space="preserve">L'accord collectif doit préciser les modalités de détermination des jours de repos acquis et fixera donc en particulier </t>
  </si>
  <si>
    <r>
      <t>1. Recalcul du forfait jours</t>
    </r>
    <r>
      <rPr>
        <sz val="12"/>
        <color rgb="FFFF0000"/>
        <rFont val="Times New Roman"/>
        <family val="1"/>
      </rPr>
      <t xml:space="preserve"> en tenant compte d'un droit aux congés payés nul et des 10 jours fériés coïncidant avec un jour ouvré sur l'ensemble de l'année N.</t>
    </r>
  </si>
  <si>
    <t>Entrée dans l'entreprise le 01/07</t>
  </si>
  <si>
    <t xml:space="preserve">Journée de solidarité effectuée </t>
  </si>
  <si>
    <t xml:space="preserve">Nombre de jours entre le </t>
  </si>
  <si>
    <t xml:space="preserve">et le </t>
  </si>
  <si>
    <t xml:space="preserve">jours calendaires </t>
  </si>
  <si>
    <t xml:space="preserve">Nombre de Samedis et de Dimanches sur cette période </t>
  </si>
  <si>
    <t>S et D</t>
  </si>
  <si>
    <t xml:space="preserve">Forfait jours </t>
  </si>
  <si>
    <t xml:space="preserve">Nombre de jours de RTT </t>
  </si>
  <si>
    <t xml:space="preserve">arrondi à </t>
  </si>
  <si>
    <t>Ex 1</t>
  </si>
  <si>
    <t xml:space="preserve">Ex 2 </t>
  </si>
  <si>
    <t xml:space="preserve">jours de travail dus à l'employeur </t>
  </si>
  <si>
    <t xml:space="preserve">Forfait </t>
  </si>
  <si>
    <t xml:space="preserve">jours ouvrés de CP </t>
  </si>
  <si>
    <t>jours fériés tombant un jour ouvré</t>
  </si>
  <si>
    <t xml:space="preserve">Proratisation </t>
  </si>
  <si>
    <t xml:space="preserve">jours calendaires de présence sur les </t>
  </si>
  <si>
    <t xml:space="preserve">jours </t>
  </si>
  <si>
    <t>jours de travail dus à l'employeur</t>
  </si>
  <si>
    <t xml:space="preserve">NB. Le plafond de la Sécurité Sociale en cas de forfait inférieur à la norme de 218 jours n'est pas OBLIGATOIREMENT proratisé  mais il peut l'être depuis Avril 2021. </t>
  </si>
  <si>
    <t>et de 9  jours fériés chômés (hors journée de solidarité)  correspondant à un jour habituellement travaillé</t>
  </si>
  <si>
    <t>chaque jour d'absence sera calculée en 252e (218 + 25 + 9) du salaire annuel.</t>
  </si>
  <si>
    <t>* On va diviser son salaire annuel par 252  pour obtenir le salaire moyen journalier</t>
  </si>
  <si>
    <t xml:space="preserve">40 000 /252= </t>
  </si>
  <si>
    <t xml:space="preserve">158,73 * 5 </t>
  </si>
  <si>
    <t>jours de repos</t>
  </si>
  <si>
    <t xml:space="preserve">jours fériés tombant   un jour ouvré </t>
  </si>
  <si>
    <r>
      <rPr>
        <sz val="12"/>
        <color rgb="FF000000"/>
        <rFont val="Times New Roman"/>
        <family val="1"/>
      </rPr>
      <t xml:space="preserve"> Le forfait jours est un mode d’organisation du temps de travail selon un décompte en journées et/ou demi-journées de travail sur un exercice déterminé (année civile par exemple) </t>
    </r>
    <r>
      <rPr>
        <vertAlign val="superscript"/>
        <sz val="12"/>
        <color rgb="FF000000"/>
        <rFont val="Times New Roman"/>
        <family val="1"/>
      </rPr>
      <t>1</t>
    </r>
    <r>
      <rPr>
        <sz val="12"/>
        <color rgb="FF000000"/>
        <rFont val="Times New Roman"/>
        <family val="1"/>
      </rPr>
      <t xml:space="preserve">. Il permet d’écarter l’application de la législation relative aux heures supplémentaires ainsi qu’à la durée maximale journalière et hebdomadaire du travail </t>
    </r>
    <r>
      <rPr>
        <vertAlign val="superscript"/>
        <sz val="12"/>
        <color rgb="FF000000"/>
        <rFont val="Times New Roman"/>
        <family val="1"/>
      </rPr>
      <t>1</t>
    </r>
    <r>
      <rPr>
        <sz val="12"/>
        <color rgb="FF000000"/>
        <rFont val="Times New Roman"/>
        <family val="1"/>
      </rPr>
      <t xml:space="preserve">. Le plafond annuel en jours constitue la limite maximale théorique de jours travaillés, à savoir, 218 jours. Pour autant, ce plafond peut être dépassé dans l’hypothèse d’un rachat de jours de repos dans des conditions strictement limitées </t>
    </r>
    <r>
      <rPr>
        <vertAlign val="superscript"/>
        <sz val="12"/>
        <color rgb="FF000000"/>
        <rFont val="Times New Roman"/>
        <family val="1"/>
      </rPr>
      <t>1</t>
    </r>
    <r>
      <rPr>
        <sz val="12"/>
        <color rgb="FF000000"/>
        <rFont val="Times New Roman"/>
        <family val="1"/>
      </rPr>
      <t xml:space="preserve">.l s’applique aux salariés qui disposent d’une grande autonomie dans l’organisation de leur temps de travail. Les cadres sont les principaux bénéficiaires de ce dispositif, mais il n’est pas exclusif à eux. Les salariés non-cadres peuvent également être soumis au forfait jours, à condition que leur convention collective le prévoie1.Il est important de noter que le recours au forfait jours nécessite impérativement un accord collectif ou une convention collective organisant son recours </t>
    </r>
    <r>
      <rPr>
        <vertAlign val="superscript"/>
        <sz val="12"/>
        <color rgb="FF000000"/>
        <rFont val="Times New Roman"/>
        <family val="1"/>
      </rPr>
      <t>1</t>
    </r>
    <r>
      <rPr>
        <sz val="12"/>
        <color rgb="FF000000"/>
        <rFont val="Times New Roman"/>
        <family val="1"/>
      </rPr>
      <t>.</t>
    </r>
  </si>
  <si>
    <t xml:space="preserve">Voir ci-dessous </t>
  </si>
  <si>
    <t>Idem remarques précédentes. Voir ci(dessous pour 2023  et 2024</t>
  </si>
  <si>
    <t xml:space="preserve">Mais ce n'est pas nécessairement vrai chaque année </t>
  </si>
  <si>
    <t>Mais l'accord collectif ne pourra pas prévoir une fouchette de jours à effectuer par un salarié selon les années. Les jours de repos seront ajustés compte tenu du nombre</t>
  </si>
  <si>
    <t xml:space="preserve">de Samedis /  Dimanches et de Jours fériés tombant un jour ouvré </t>
  </si>
  <si>
    <t xml:space="preserve">Nombre de jours fériés tombant un jour ouvré </t>
  </si>
  <si>
    <t xml:space="preserve">Nombre de jours fériés tombant un jour férié </t>
  </si>
  <si>
    <t>216  jours En 2024</t>
  </si>
  <si>
    <t xml:space="preserve">Sur excel vous retirez trmporairement de l'un des tableaux ci-dessus le nombre de jours de repos </t>
  </si>
  <si>
    <t xml:space="preserve">228 -216 = </t>
  </si>
  <si>
    <t>12 jours de repos (en 2024)</t>
  </si>
  <si>
    <t xml:space="preserve">Privilégiez Méthode 2 </t>
  </si>
  <si>
    <t>arrondi à 7</t>
  </si>
  <si>
    <t xml:space="preserve">Norme </t>
  </si>
  <si>
    <t xml:space="preserve">En réalité le nombre de jours de repos peut être différent suivant les années ; ainsi : </t>
  </si>
  <si>
    <t xml:space="preserve">Puis rajouter la journée de solidarité </t>
  </si>
  <si>
    <t xml:space="preserve">Jours de repos ? </t>
  </si>
  <si>
    <t xml:space="preserve">Il devra donc à son employeur 168 jours de travail  mais aura un droit de 3 jours qu'il pourra exercer jusqu'au 31/05/2025. </t>
  </si>
  <si>
    <t xml:space="preserve">=174 jours ouvrés </t>
  </si>
  <si>
    <t xml:space="preserve">Jours ouvrés de congés payés acquis </t>
  </si>
  <si>
    <t xml:space="preserve"> Période du 02/05/2024 au 31/12/2024</t>
  </si>
  <si>
    <t>7  jours fériés tombant   sur la période du 02/05 au 31/12</t>
  </si>
  <si>
    <t xml:space="preserve">Jours travaillés hors CP </t>
  </si>
  <si>
    <t>10 jours de repos</t>
  </si>
  <si>
    <t xml:space="preserve">en 2024 </t>
  </si>
  <si>
    <t xml:space="preserve">Sur cette période, Jours fériés tombant sur la semaine </t>
  </si>
  <si>
    <t xml:space="preserve">Pas de droits à CP  acquis </t>
  </si>
  <si>
    <t xml:space="preserve">Norme Forfait 218 jours </t>
  </si>
  <si>
    <t>=10*184/365</t>
  </si>
  <si>
    <t>Proratisation du nombre de jours de repos (10) cf ci-dessus</t>
  </si>
  <si>
    <t>jours fériés ne tombent pas un samedi   ou un dimanche</t>
  </si>
  <si>
    <t>253*184/366</t>
  </si>
  <si>
    <t xml:space="preserve">La méthode 1 me semble plus rigoureuse </t>
  </si>
  <si>
    <t xml:space="preserve">Si Journée de soldarité non ncore effectuée </t>
  </si>
  <si>
    <t xml:space="preserve">Salarié entré en cours d'année  : ici le 02/05/2024 </t>
  </si>
  <si>
    <t xml:space="preserve">Proratisation des jours de repos </t>
  </si>
  <si>
    <t>=NB.JOURS.OUVRES(;)</t>
  </si>
  <si>
    <t xml:space="preserve">10 * 244/366 </t>
  </si>
  <si>
    <t xml:space="preserve"> Sur la période qui va du 02/05/2024  au 31/12/ 2024 combien de jours de travail doit-t-il à son employeur ? </t>
  </si>
  <si>
    <t>3 jours de  de CP acquis entre le 02/05/2024 e t 31/05/2024</t>
  </si>
  <si>
    <t xml:space="preserve">Le salarié doit 168 jours de travail à son employeur  mais a droit à 3 jours de CP -  MAIS avant prise en compte des jours de repos compris dans son forfait </t>
  </si>
  <si>
    <t>arrondi à 4 ou 3 suivant les accords</t>
  </si>
  <si>
    <t>10 *184 / 366</t>
  </si>
  <si>
    <t xml:space="preserve">Le salarié doit donc 123  jours de travail. </t>
  </si>
  <si>
    <t xml:space="preserve">jours de travail dus à l'employEur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</si>
</sst>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\ _€_-;\-* #,##0.00\ _€_-;_-* \-??\ _€_-;_-@_-"/>
    <numFmt numFmtId="166" formatCode="_-* #,##0.0000\ _€_-;\-* #,##0.0000\ _€_-;_-* \-??\ _€_-;_-@_-"/>
    <numFmt numFmtId="167" formatCode="0.000"/>
    <numFmt numFmtId="168" formatCode="_-* #,##0.00\ _€_-;\-* #,##0.00\ _€_-;_-* &quot;-&quot;??\ _€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6"/>
      <color rgb="FF000000"/>
      <name val="Times New Roman"/>
      <family val="1"/>
    </font>
    <font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color rgb="FF000000"/>
      <name val="Times New Roman"/>
      <family val="1"/>
    </font>
    <font>
      <sz val="12"/>
      <name val="Times New Roman"/>
      <family val="1"/>
    </font>
    <font>
      <b/>
      <sz val="11"/>
      <color rgb="FF000000"/>
      <name val="Calibri"/>
      <family val="2"/>
      <charset val="1"/>
    </font>
    <font>
      <b/>
      <sz val="10"/>
      <name val="Arial"/>
      <family val="2"/>
      <charset val="1"/>
    </font>
    <font>
      <b/>
      <sz val="12"/>
      <name val="Arial"/>
      <family val="2"/>
      <charset val="1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rgb="FFFF0000"/>
      <name val="Times New Roman"/>
      <family val="1"/>
    </font>
    <font>
      <sz val="11"/>
      <color theme="1"/>
      <name val="Times New Roman"/>
      <family val="1"/>
    </font>
    <font>
      <sz val="8"/>
      <name val="Calibri"/>
      <family val="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</font>
    <font>
      <sz val="14"/>
      <color rgb="FF000000"/>
      <name val="Calibri"/>
      <family val="2"/>
      <scheme val="minor"/>
    </font>
    <font>
      <vertAlign val="superscript"/>
      <sz val="12"/>
      <color rgb="FF000000"/>
      <name val="Times New Roman"/>
      <family val="1"/>
    </font>
    <font>
      <sz val="8"/>
      <color rgb="FF000000"/>
      <name val="Times New Roman"/>
      <family val="1"/>
    </font>
    <font>
      <i/>
      <sz val="12"/>
      <color rgb="FF000000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11"/>
      <color theme="1"/>
      <name val="Times New Roman"/>
      <family val="1"/>
    </font>
    <font>
      <sz val="1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00B0F0"/>
        <bgColor rgb="FF33CCCC"/>
      </patternFill>
    </fill>
    <fill>
      <patternFill patternType="solid">
        <fgColor rgb="FFFF0000"/>
        <bgColor rgb="FF993300"/>
      </patternFill>
    </fill>
    <fill>
      <patternFill patternType="solid">
        <fgColor rgb="FFFFC000"/>
        <bgColor rgb="FFFF990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1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/>
    <xf numFmtId="0" fontId="6" fillId="0" borderId="2" xfId="0" applyFont="1" applyBorder="1" applyAlignment="1">
      <alignment horizontal="center"/>
    </xf>
    <xf numFmtId="0" fontId="6" fillId="0" borderId="2" xfId="0" applyFont="1" applyBorder="1"/>
    <xf numFmtId="0" fontId="6" fillId="0" borderId="0" xfId="0" applyFont="1"/>
    <xf numFmtId="0" fontId="6" fillId="0" borderId="0" xfId="0" applyFont="1" applyAlignment="1">
      <alignment horizontal="center"/>
    </xf>
    <xf numFmtId="164" fontId="5" fillId="0" borderId="2" xfId="1" applyFont="1" applyBorder="1"/>
    <xf numFmtId="164" fontId="4" fillId="0" borderId="2" xfId="1" applyFont="1" applyBorder="1"/>
    <xf numFmtId="164" fontId="3" fillId="0" borderId="0" xfId="1" applyFont="1"/>
    <xf numFmtId="164" fontId="9" fillId="0" borderId="2" xfId="1" applyFont="1" applyBorder="1"/>
    <xf numFmtId="164" fontId="10" fillId="0" borderId="2" xfId="1" applyFont="1" applyBorder="1"/>
    <xf numFmtId="164" fontId="1" fillId="0" borderId="0" xfId="1"/>
    <xf numFmtId="164" fontId="11" fillId="0" borderId="2" xfId="1" applyFont="1" applyBorder="1"/>
    <xf numFmtId="164" fontId="11" fillId="0" borderId="0" xfId="1" applyFont="1" applyBorder="1"/>
    <xf numFmtId="0" fontId="5" fillId="0" borderId="2" xfId="0" applyFont="1" applyBorder="1"/>
    <xf numFmtId="164" fontId="3" fillId="0" borderId="2" xfId="1" applyFont="1" applyBorder="1"/>
    <xf numFmtId="0" fontId="11" fillId="0" borderId="0" xfId="0" applyFont="1"/>
    <xf numFmtId="0" fontId="5" fillId="0" borderId="0" xfId="0" applyFont="1" applyAlignment="1">
      <alignment horizontal="center"/>
    </xf>
    <xf numFmtId="166" fontId="1" fillId="0" borderId="2" xfId="1" applyNumberFormat="1" applyBorder="1"/>
    <xf numFmtId="0" fontId="12" fillId="0" borderId="2" xfId="0" applyFont="1" applyBorder="1" applyAlignment="1">
      <alignment horizontal="center" vertical="center" wrapText="1"/>
    </xf>
    <xf numFmtId="14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1" fillId="0" borderId="0" xfId="1" applyBorder="1"/>
    <xf numFmtId="0" fontId="3" fillId="0" borderId="2" xfId="0" applyFont="1" applyBorder="1" applyAlignment="1">
      <alignment horizontal="center"/>
    </xf>
    <xf numFmtId="0" fontId="0" fillId="0" borderId="0" xfId="0" applyAlignment="1">
      <alignment horizontal="left" vertical="center" inden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14" fontId="0" fillId="2" borderId="2" xfId="0" applyNumberForma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164" fontId="1" fillId="0" borderId="0" xfId="1" applyBorder="1" applyProtection="1"/>
    <xf numFmtId="0" fontId="0" fillId="0" borderId="0" xfId="0" applyAlignment="1">
      <alignment horizontal="left" vertical="center" wrapText="1"/>
    </xf>
    <xf numFmtId="0" fontId="0" fillId="2" borderId="2" xfId="0" applyFill="1" applyBorder="1" applyAlignment="1">
      <alignment horizontal="center" vertical="center" wrapText="1"/>
    </xf>
    <xf numFmtId="14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4" fontId="0" fillId="2" borderId="2" xfId="0" applyNumberForma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5" fillId="0" borderId="0" xfId="0" applyFont="1" applyAlignment="1">
      <alignment horizontal="left"/>
    </xf>
    <xf numFmtId="0" fontId="20" fillId="0" borderId="0" xfId="0" applyFont="1"/>
    <xf numFmtId="0" fontId="0" fillId="3" borderId="2" xfId="0" quotePrefix="1" applyFill="1" applyBorder="1" applyAlignment="1">
      <alignment horizontal="center" vertical="center" wrapText="1"/>
    </xf>
    <xf numFmtId="14" fontId="19" fillId="0" borderId="0" xfId="0" applyNumberFormat="1" applyFont="1"/>
    <xf numFmtId="0" fontId="3" fillId="0" borderId="0" xfId="0" quotePrefix="1" applyFont="1"/>
    <xf numFmtId="0" fontId="3" fillId="0" borderId="0" xfId="0" quotePrefix="1" applyFont="1" applyAlignment="1">
      <alignment horizontal="center"/>
    </xf>
    <xf numFmtId="0" fontId="22" fillId="0" borderId="0" xfId="0" applyFont="1"/>
    <xf numFmtId="14" fontId="22" fillId="0" borderId="0" xfId="0" applyNumberFormat="1" applyFont="1"/>
    <xf numFmtId="0" fontId="23" fillId="0" borderId="0" xfId="0" applyFont="1"/>
    <xf numFmtId="0" fontId="19" fillId="0" borderId="0" xfId="0" quotePrefix="1" applyFont="1"/>
    <xf numFmtId="0" fontId="4" fillId="0" borderId="0" xfId="0" applyFont="1" applyAlignment="1">
      <alignment horizontal="center"/>
    </xf>
    <xf numFmtId="0" fontId="5" fillId="0" borderId="2" xfId="0" quotePrefix="1" applyFont="1" applyBorder="1" applyAlignment="1">
      <alignment horizontal="center"/>
    </xf>
    <xf numFmtId="0" fontId="3" fillId="0" borderId="0" xfId="0" applyFont="1" applyAlignment="1">
      <alignment horizontal="center"/>
    </xf>
    <xf numFmtId="14" fontId="22" fillId="0" borderId="2" xfId="0" applyNumberFormat="1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22" fillId="0" borderId="2" xfId="0" quotePrefix="1" applyFont="1" applyBorder="1" applyAlignment="1">
      <alignment horizontal="center"/>
    </xf>
    <xf numFmtId="0" fontId="24" fillId="0" borderId="0" xfId="0" applyFont="1"/>
    <xf numFmtId="0" fontId="25" fillId="0" borderId="0" xfId="0" applyFont="1"/>
    <xf numFmtId="0" fontId="25" fillId="0" borderId="2" xfId="0" applyFont="1" applyBorder="1" applyAlignment="1">
      <alignment horizontal="center"/>
    </xf>
    <xf numFmtId="0" fontId="18" fillId="0" borderId="0" xfId="0" applyFont="1"/>
    <xf numFmtId="14" fontId="17" fillId="0" borderId="0" xfId="0" applyNumberFormat="1" applyFont="1"/>
    <xf numFmtId="0" fontId="17" fillId="0" borderId="0" xfId="0" quotePrefix="1" applyFont="1"/>
    <xf numFmtId="0" fontId="0" fillId="0" borderId="1" xfId="0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28" fillId="0" borderId="0" xfId="0" applyFont="1"/>
    <xf numFmtId="0" fontId="5" fillId="6" borderId="2" xfId="0" applyFont="1" applyFill="1" applyBorder="1" applyAlignment="1">
      <alignment horizontal="center"/>
    </xf>
    <xf numFmtId="0" fontId="29" fillId="0" borderId="0" xfId="0" applyFont="1"/>
    <xf numFmtId="0" fontId="4" fillId="6" borderId="0" xfId="0" applyFont="1" applyFill="1"/>
    <xf numFmtId="0" fontId="5" fillId="6" borderId="0" xfId="0" applyFont="1" applyFill="1"/>
    <xf numFmtId="0" fontId="5" fillId="6" borderId="2" xfId="0" quotePrefix="1" applyFont="1" applyFill="1" applyBorder="1" applyAlignment="1">
      <alignment horizontal="center"/>
    </xf>
    <xf numFmtId="0" fontId="5" fillId="6" borderId="2" xfId="0" applyFont="1" applyFill="1" applyBorder="1"/>
    <xf numFmtId="0" fontId="5" fillId="6" borderId="0" xfId="0" applyFont="1" applyFill="1" applyAlignment="1">
      <alignment horizontal="left"/>
    </xf>
    <xf numFmtId="0" fontId="20" fillId="0" borderId="0" xfId="0" quotePrefix="1" applyFont="1"/>
    <xf numFmtId="0" fontId="32" fillId="0" borderId="0" xfId="0" applyFont="1"/>
    <xf numFmtId="0" fontId="5" fillId="0" borderId="0" xfId="0" applyFont="1" applyFill="1" applyBorder="1" applyAlignment="1">
      <alignment horizontal="center"/>
    </xf>
    <xf numFmtId="0" fontId="17" fillId="0" borderId="0" xfId="0" applyFont="1" applyFill="1" applyBorder="1"/>
    <xf numFmtId="0" fontId="17" fillId="6" borderId="0" xfId="0" applyFont="1" applyFill="1"/>
    <xf numFmtId="0" fontId="20" fillId="0" borderId="0" xfId="0" applyFont="1" applyBorder="1"/>
    <xf numFmtId="0" fontId="5" fillId="0" borderId="0" xfId="0" applyFont="1" applyAlignment="1">
      <alignment vertical="center" wrapText="1"/>
    </xf>
    <xf numFmtId="0" fontId="26" fillId="0" borderId="0" xfId="0" applyFont="1" applyAlignment="1">
      <alignment vertical="center" wrapText="1"/>
    </xf>
    <xf numFmtId="0" fontId="33" fillId="0" borderId="0" xfId="0" applyFont="1"/>
    <xf numFmtId="0" fontId="3" fillId="0" borderId="0" xfId="0" applyFont="1" applyBorder="1"/>
    <xf numFmtId="0" fontId="11" fillId="0" borderId="0" xfId="0" applyFont="1" applyBorder="1"/>
    <xf numFmtId="0" fontId="5" fillId="0" borderId="0" xfId="0" applyFont="1" applyBorder="1"/>
    <xf numFmtId="0" fontId="4" fillId="0" borderId="0" xfId="0" applyFont="1" applyBorder="1"/>
    <xf numFmtId="167" fontId="3" fillId="0" borderId="0" xfId="0" applyNumberFormat="1" applyFont="1" applyBorder="1"/>
    <xf numFmtId="0" fontId="3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 indent="1"/>
    </xf>
    <xf numFmtId="0" fontId="16" fillId="0" borderId="0" xfId="0" applyFont="1" applyBorder="1" applyAlignment="1">
      <alignment horizontal="center"/>
    </xf>
    <xf numFmtId="0" fontId="0" fillId="0" borderId="0" xfId="0" applyBorder="1"/>
    <xf numFmtId="165" fontId="3" fillId="0" borderId="0" xfId="0" applyNumberFormat="1" applyFont="1" applyBorder="1" applyAlignment="1">
      <alignment horizontal="center"/>
    </xf>
    <xf numFmtId="168" fontId="3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690562</xdr:colOff>
      <xdr:row>72</xdr:row>
      <xdr:rowOff>158750</xdr:rowOff>
    </xdr:from>
    <xdr:to>
      <xdr:col>2</xdr:col>
      <xdr:colOff>1047750</xdr:colOff>
      <xdr:row>77</xdr:row>
      <xdr:rowOff>190500</xdr:rowOff>
    </xdr:to>
    <xdr:cxnSp macro="">
      <xdr:nvCxnSpPr>
        <xdr:cNvPr id="3" name="Connecteur droit avec flèche 2">
          <a:extLst>
            <a:ext uri="{FF2B5EF4-FFF2-40B4-BE49-F238E27FC236}">
              <a16:creationId xmlns:a16="http://schemas.microsoft.com/office/drawing/2014/main" id="{D4566A59-8A57-ACEC-E923-84DA48F6411E}"/>
            </a:ext>
          </a:extLst>
        </xdr:cNvPr>
        <xdr:cNvCxnSpPr/>
      </xdr:nvCxnSpPr>
      <xdr:spPr>
        <a:xfrm flipV="1">
          <a:off x="1476375" y="13906500"/>
          <a:ext cx="357188" cy="1023938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1254125</xdr:colOff>
      <xdr:row>72</xdr:row>
      <xdr:rowOff>103188</xdr:rowOff>
    </xdr:from>
    <xdr:to>
      <xdr:col>6</xdr:col>
      <xdr:colOff>484187</xdr:colOff>
      <xdr:row>79</xdr:row>
      <xdr:rowOff>71437</xdr:rowOff>
    </xdr:to>
    <xdr:cxnSp macro="">
      <xdr:nvCxnSpPr>
        <xdr:cNvPr id="5" name="Connecteur droit avec flèche 4">
          <a:extLst>
            <a:ext uri="{FF2B5EF4-FFF2-40B4-BE49-F238E27FC236}">
              <a16:creationId xmlns:a16="http://schemas.microsoft.com/office/drawing/2014/main" id="{939D62AD-C631-5712-86F0-C2801E9D76FD}"/>
            </a:ext>
          </a:extLst>
        </xdr:cNvPr>
        <xdr:cNvCxnSpPr/>
      </xdr:nvCxnSpPr>
      <xdr:spPr>
        <a:xfrm flipV="1">
          <a:off x="2039938" y="13850938"/>
          <a:ext cx="6469062" cy="1357312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103322</xdr:colOff>
      <xdr:row>7</xdr:row>
      <xdr:rowOff>174356</xdr:rowOff>
    </xdr:from>
    <xdr:to>
      <xdr:col>3</xdr:col>
      <xdr:colOff>607017</xdr:colOff>
      <xdr:row>29</xdr:row>
      <xdr:rowOff>38746</xdr:rowOff>
    </xdr:to>
    <xdr:cxnSp macro="">
      <xdr:nvCxnSpPr>
        <xdr:cNvPr id="3" name="Connecteur droit avec flèche 2">
          <a:extLst>
            <a:ext uri="{FF2B5EF4-FFF2-40B4-BE49-F238E27FC236}">
              <a16:creationId xmlns:a16="http://schemas.microsoft.com/office/drawing/2014/main" id="{3E4E13B7-566E-51DC-A73F-A4562B19CBE2}"/>
            </a:ext>
          </a:extLst>
        </xdr:cNvPr>
        <xdr:cNvCxnSpPr/>
      </xdr:nvCxnSpPr>
      <xdr:spPr>
        <a:xfrm flipV="1">
          <a:off x="3977898" y="1575661"/>
          <a:ext cx="503695" cy="4268492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393916</xdr:colOff>
      <xdr:row>28</xdr:row>
      <xdr:rowOff>38746</xdr:rowOff>
    </xdr:from>
    <xdr:to>
      <xdr:col>6</xdr:col>
      <xdr:colOff>77491</xdr:colOff>
      <xdr:row>30</xdr:row>
      <xdr:rowOff>154983</xdr:rowOff>
    </xdr:to>
    <xdr:cxnSp macro="">
      <xdr:nvCxnSpPr>
        <xdr:cNvPr id="5" name="Connecteur droit avec flèche 4">
          <a:extLst>
            <a:ext uri="{FF2B5EF4-FFF2-40B4-BE49-F238E27FC236}">
              <a16:creationId xmlns:a16="http://schemas.microsoft.com/office/drawing/2014/main" id="{3F99DDC6-6B68-97FB-7819-B8AF0BB16370}"/>
            </a:ext>
          </a:extLst>
        </xdr:cNvPr>
        <xdr:cNvCxnSpPr/>
      </xdr:nvCxnSpPr>
      <xdr:spPr>
        <a:xfrm flipV="1">
          <a:off x="5844153" y="5643966"/>
          <a:ext cx="471406" cy="51661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60960</xdr:colOff>
      <xdr:row>19</xdr:row>
      <xdr:rowOff>160020</xdr:rowOff>
    </xdr:from>
    <xdr:to>
      <xdr:col>5</xdr:col>
      <xdr:colOff>609600</xdr:colOff>
      <xdr:row>26</xdr:row>
      <xdr:rowOff>121920</xdr:rowOff>
    </xdr:to>
    <xdr:cxnSp macro="">
      <xdr:nvCxnSpPr>
        <xdr:cNvPr id="3" name="Connecteur droit avec flèche 2">
          <a:extLst>
            <a:ext uri="{FF2B5EF4-FFF2-40B4-BE49-F238E27FC236}">
              <a16:creationId xmlns:a16="http://schemas.microsoft.com/office/drawing/2014/main" id="{E0D1CBB3-2D89-D1DE-98E8-5DA5D3A1DC1D}"/>
            </a:ext>
          </a:extLst>
        </xdr:cNvPr>
        <xdr:cNvCxnSpPr/>
      </xdr:nvCxnSpPr>
      <xdr:spPr>
        <a:xfrm flipV="1">
          <a:off x="4168140" y="5715000"/>
          <a:ext cx="2118360" cy="12573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38100</xdr:colOff>
      <xdr:row>29</xdr:row>
      <xdr:rowOff>7620</xdr:rowOff>
    </xdr:from>
    <xdr:to>
      <xdr:col>4</xdr:col>
      <xdr:colOff>502920</xdr:colOff>
      <xdr:row>34</xdr:row>
      <xdr:rowOff>22860</xdr:rowOff>
    </xdr:to>
    <xdr:cxnSp macro="">
      <xdr:nvCxnSpPr>
        <xdr:cNvPr id="5" name="Connecteur droit avec flèche 4">
          <a:extLst>
            <a:ext uri="{FF2B5EF4-FFF2-40B4-BE49-F238E27FC236}">
              <a16:creationId xmlns:a16="http://schemas.microsoft.com/office/drawing/2014/main" id="{D6034699-EF99-8D6E-4EA8-EA33ECF368F3}"/>
            </a:ext>
          </a:extLst>
        </xdr:cNvPr>
        <xdr:cNvCxnSpPr/>
      </xdr:nvCxnSpPr>
      <xdr:spPr>
        <a:xfrm flipH="1" flipV="1">
          <a:off x="4549140" y="7452360"/>
          <a:ext cx="1249680" cy="93726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ienvenue/Desktop/BLOG%20DE%20LA%20PAIE/VALORISATION%20DES%20ABSENC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URS "/>
      <sheetName val="EX 1 ENONCE "/>
      <sheetName val="EX 1 CORR "/>
      <sheetName val="Feuil3"/>
      <sheetName val="Feuil5"/>
      <sheetName val="FORFAIT JOURS "/>
      <sheetName val="JOURS FERIES "/>
      <sheetName val="HYP 2 "/>
      <sheetName val="HYP 1 "/>
      <sheetName val="HYP 3 "/>
      <sheetName val="Feuil1"/>
    </sheetNames>
    <sheetDataSet>
      <sheetData sheetId="0"/>
      <sheetData sheetId="1"/>
      <sheetData sheetId="2"/>
      <sheetData sheetId="3"/>
      <sheetData sheetId="4">
        <row r="24">
          <cell r="E24">
            <v>61</v>
          </cell>
        </row>
        <row r="25">
          <cell r="E25">
            <v>16</v>
          </cell>
        </row>
        <row r="26">
          <cell r="E26">
            <v>4.17</v>
          </cell>
        </row>
        <row r="27">
          <cell r="E27">
            <v>2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41"/>
  <sheetViews>
    <sheetView workbookViewId="0">
      <selection activeCell="C21" sqref="C21"/>
    </sheetView>
  </sheetViews>
  <sheetFormatPr baseColWidth="10" defaultColWidth="9.109375" defaultRowHeight="14.4" x14ac:dyDescent="0.3"/>
  <cols>
    <col min="2" max="2" width="23.33203125" customWidth="1"/>
    <col min="3" max="8" width="14.88671875" customWidth="1"/>
    <col min="9" max="9" width="14.44140625" customWidth="1"/>
    <col min="10" max="10" width="14.5546875" customWidth="1"/>
    <col min="11" max="11" width="14.109375" customWidth="1"/>
  </cols>
  <sheetData>
    <row r="1" spans="2:11" ht="56.25" customHeight="1" x14ac:dyDescent="0.3">
      <c r="B1" s="71" t="s">
        <v>136</v>
      </c>
      <c r="C1" s="71"/>
      <c r="D1" s="71"/>
      <c r="E1" s="71"/>
      <c r="F1" s="71"/>
      <c r="G1" s="71"/>
      <c r="H1" s="71"/>
    </row>
    <row r="2" spans="2:11" ht="36" customHeight="1" x14ac:dyDescent="0.3">
      <c r="B2" s="72" t="s">
        <v>137</v>
      </c>
      <c r="C2" s="72"/>
      <c r="D2" s="72"/>
      <c r="E2" s="72"/>
      <c r="F2" s="72"/>
      <c r="G2" s="72"/>
      <c r="H2" s="72"/>
    </row>
    <row r="4" spans="2:11" ht="37.5" customHeight="1" x14ac:dyDescent="0.3">
      <c r="B4" s="34" t="s">
        <v>85</v>
      </c>
      <c r="C4" s="35">
        <v>45474</v>
      </c>
      <c r="D4" s="38"/>
      <c r="E4" s="38"/>
      <c r="F4" s="38"/>
      <c r="G4" s="38"/>
      <c r="H4" s="38"/>
    </row>
    <row r="5" spans="2:11" ht="37.5" customHeight="1" x14ac:dyDescent="0.3">
      <c r="B5" s="34" t="s">
        <v>86</v>
      </c>
      <c r="C5" s="35">
        <v>45657</v>
      </c>
      <c r="D5" s="38"/>
      <c r="E5" s="39">
        <f>224/24</f>
        <v>9.3333333333333339</v>
      </c>
      <c r="F5" s="39">
        <v>23.333333333333336</v>
      </c>
      <c r="G5" s="38"/>
      <c r="H5" s="38"/>
    </row>
    <row r="6" spans="2:11" ht="38.25" customHeight="1" x14ac:dyDescent="0.3">
      <c r="B6" s="36" t="s">
        <v>87</v>
      </c>
      <c r="C6" s="37">
        <f>C5-C4+1</f>
        <v>184</v>
      </c>
      <c r="D6" s="33"/>
      <c r="E6" s="33"/>
      <c r="F6" s="33"/>
      <c r="G6" s="33"/>
      <c r="H6" s="33"/>
    </row>
    <row r="7" spans="2:11" ht="0.75" customHeight="1" x14ac:dyDescent="0.3">
      <c r="B7" s="36"/>
      <c r="C7" s="37">
        <v>0</v>
      </c>
      <c r="D7" s="33"/>
      <c r="E7" s="33"/>
      <c r="F7" s="33"/>
      <c r="G7" s="33"/>
      <c r="H7" s="33"/>
    </row>
    <row r="8" spans="2:11" ht="20.25" hidden="1" customHeight="1" x14ac:dyDescent="0.3">
      <c r="B8" s="36"/>
      <c r="C8" s="37">
        <f>C6-C7</f>
        <v>184</v>
      </c>
      <c r="D8" s="33"/>
      <c r="E8" s="33"/>
      <c r="F8" s="33"/>
      <c r="G8" s="33"/>
      <c r="H8" s="33"/>
    </row>
    <row r="9" spans="2:11" ht="38.25" customHeight="1" x14ac:dyDescent="0.3">
      <c r="B9" s="36" t="s">
        <v>88</v>
      </c>
      <c r="C9" s="51" t="e">
        <f ca="1">SOMMEPROD((JOURSEM(LIGNE(INDIRECT(C$4&amp;":"&amp;C$5)))=7)*1)</f>
        <v>#NAME?</v>
      </c>
      <c r="D9" s="33"/>
      <c r="E9" s="33"/>
      <c r="F9" s="33"/>
      <c r="G9" s="33"/>
      <c r="H9" s="33"/>
    </row>
    <row r="10" spans="2:11" ht="38.25" customHeight="1" x14ac:dyDescent="0.3">
      <c r="B10" s="36" t="s">
        <v>89</v>
      </c>
      <c r="C10" s="37" t="e">
        <f ca="1">C6-C9</f>
        <v>#NAME?</v>
      </c>
      <c r="D10" s="33"/>
      <c r="E10" s="33"/>
      <c r="F10" s="33"/>
      <c r="G10" s="33"/>
      <c r="H10" s="33"/>
    </row>
    <row r="11" spans="2:11" ht="38.25" customHeight="1" x14ac:dyDescent="0.3">
      <c r="B11" s="36" t="s">
        <v>90</v>
      </c>
      <c r="C11" s="37">
        <v>23</v>
      </c>
      <c r="D11" s="33"/>
      <c r="E11" s="33"/>
      <c r="F11" s="33"/>
      <c r="G11" s="33"/>
      <c r="H11" s="33"/>
    </row>
    <row r="12" spans="2:11" ht="92.25" customHeight="1" x14ac:dyDescent="0.3">
      <c r="B12" s="73" t="s">
        <v>138</v>
      </c>
      <c r="C12" s="73"/>
      <c r="D12" s="73"/>
      <c r="E12" s="73"/>
      <c r="F12" s="73"/>
      <c r="G12" s="73"/>
      <c r="H12" s="73"/>
      <c r="I12" s="73"/>
      <c r="J12" s="73"/>
      <c r="K12" s="73"/>
    </row>
    <row r="13" spans="2:11" ht="92.25" customHeight="1" x14ac:dyDescent="0.3">
      <c r="B13" s="32">
        <f>195/20</f>
        <v>9.75</v>
      </c>
      <c r="C13" s="32">
        <v>20.28</v>
      </c>
      <c r="D13" s="33"/>
      <c r="E13" s="33"/>
      <c r="F13" s="33"/>
      <c r="G13" s="33"/>
      <c r="H13" s="33"/>
      <c r="I13" s="33"/>
      <c r="J13" s="33"/>
      <c r="K13" s="33"/>
    </row>
    <row r="14" spans="2:11" ht="24" customHeight="1" x14ac:dyDescent="0.3"/>
    <row r="15" spans="2:11" ht="26.25" customHeight="1" x14ac:dyDescent="0.3">
      <c r="B15" s="74" t="s">
        <v>139</v>
      </c>
      <c r="C15" s="74"/>
      <c r="D15" s="74"/>
      <c r="E15" s="74"/>
      <c r="F15" s="74"/>
      <c r="G15" s="74"/>
    </row>
    <row r="16" spans="2:11" ht="36" customHeight="1" x14ac:dyDescent="0.3"/>
    <row r="17" spans="2:7" ht="28.5" customHeight="1" x14ac:dyDescent="0.3">
      <c r="B17" s="40"/>
      <c r="C17" s="32" t="s">
        <v>140</v>
      </c>
      <c r="D17" s="33"/>
      <c r="E17" s="33"/>
      <c r="F17" s="33"/>
      <c r="G17" s="33"/>
    </row>
    <row r="18" spans="2:7" ht="28.5" customHeight="1" x14ac:dyDescent="0.3">
      <c r="B18" s="41" t="s">
        <v>85</v>
      </c>
      <c r="C18" s="35">
        <f>+C4</f>
        <v>45474</v>
      </c>
      <c r="D18" s="42"/>
      <c r="E18" s="42"/>
      <c r="F18" s="42"/>
      <c r="G18" s="6"/>
    </row>
    <row r="19" spans="2:7" ht="28.5" customHeight="1" x14ac:dyDescent="0.3">
      <c r="B19" s="41" t="s">
        <v>86</v>
      </c>
      <c r="C19" s="35">
        <v>45657</v>
      </c>
      <c r="D19" s="42"/>
      <c r="E19" s="42"/>
      <c r="F19" s="42"/>
      <c r="G19" s="43"/>
    </row>
    <row r="20" spans="2:7" ht="28.5" customHeight="1" x14ac:dyDescent="0.3">
      <c r="B20" s="41" t="s">
        <v>141</v>
      </c>
      <c r="C20" s="35">
        <v>45474</v>
      </c>
      <c r="D20" s="38"/>
      <c r="E20" s="38"/>
      <c r="F20" s="38"/>
      <c r="G20" s="33"/>
    </row>
    <row r="21" spans="2:7" ht="28.5" customHeight="1" x14ac:dyDescent="0.3">
      <c r="B21" s="41" t="s">
        <v>142</v>
      </c>
      <c r="C21" s="35">
        <v>45657</v>
      </c>
      <c r="D21" s="38"/>
      <c r="E21" s="38"/>
      <c r="F21" s="38"/>
      <c r="G21" s="33"/>
    </row>
    <row r="22" spans="2:7" ht="28.5" customHeight="1" x14ac:dyDescent="0.3">
      <c r="B22" s="41" t="s">
        <v>143</v>
      </c>
      <c r="C22" s="44">
        <v>1600</v>
      </c>
      <c r="D22" s="33"/>
      <c r="E22" s="33"/>
      <c r="F22" s="33"/>
      <c r="G22" s="33"/>
    </row>
    <row r="23" spans="2:7" ht="28.5" customHeight="1" x14ac:dyDescent="0.3">
      <c r="B23" s="37" t="s">
        <v>87</v>
      </c>
      <c r="C23" s="32">
        <f>C19-C18+1</f>
        <v>184</v>
      </c>
      <c r="D23" s="33"/>
      <c r="E23" s="33"/>
      <c r="F23" s="33"/>
      <c r="G23" s="33"/>
    </row>
    <row r="24" spans="2:7" ht="28.5" customHeight="1" x14ac:dyDescent="0.3">
      <c r="B24" s="45" t="s">
        <v>144</v>
      </c>
      <c r="C24" s="32" t="e">
        <f ca="1">SOMMEPROD((JOURSEM(LIGNE(INDIRECT(C$18&amp;":"&amp;C$19)))=7)*1)</f>
        <v>#NAME?</v>
      </c>
      <c r="D24" s="33"/>
      <c r="E24" s="33"/>
      <c r="F24" s="33"/>
      <c r="G24" s="33"/>
    </row>
    <row r="25" spans="2:7" ht="28.5" customHeight="1" x14ac:dyDescent="0.3">
      <c r="B25" s="37" t="s">
        <v>145</v>
      </c>
      <c r="C25" s="32">
        <v>21</v>
      </c>
      <c r="D25" s="33"/>
      <c r="E25" s="33"/>
      <c r="F25" s="33"/>
      <c r="G25" s="33"/>
    </row>
    <row r="26" spans="2:7" ht="28.5" customHeight="1" x14ac:dyDescent="0.3">
      <c r="B26" s="37" t="s">
        <v>146</v>
      </c>
      <c r="C26" s="32" t="e">
        <f ca="1">C23-C24</f>
        <v>#NAME?</v>
      </c>
      <c r="D26" s="33"/>
      <c r="E26" s="33"/>
      <c r="F26" s="33"/>
      <c r="G26" s="33"/>
    </row>
    <row r="27" spans="2:7" ht="28.5" customHeight="1" x14ac:dyDescent="0.3">
      <c r="B27" s="41" t="s">
        <v>147</v>
      </c>
      <c r="C27" s="41"/>
      <c r="D27" s="6"/>
      <c r="E27" s="6"/>
      <c r="F27" s="6"/>
      <c r="G27" s="6"/>
    </row>
    <row r="28" spans="2:7" ht="28.5" customHeight="1" x14ac:dyDescent="0.3">
      <c r="B28" s="41" t="s">
        <v>148</v>
      </c>
      <c r="C28" s="41"/>
      <c r="D28" s="6"/>
      <c r="E28" s="6"/>
      <c r="F28" s="6"/>
      <c r="G28" s="6"/>
    </row>
    <row r="29" spans="2:7" ht="28.5" customHeight="1" x14ac:dyDescent="0.3">
      <c r="B29" s="46" t="s">
        <v>149</v>
      </c>
      <c r="C29" s="32" t="e">
        <v>#DIV/0!</v>
      </c>
      <c r="D29" s="33"/>
      <c r="E29" s="33"/>
      <c r="F29" s="33"/>
      <c r="G29" s="33"/>
    </row>
    <row r="30" spans="2:7" ht="28.5" customHeight="1" x14ac:dyDescent="0.3">
      <c r="B30" s="45" t="s">
        <v>150</v>
      </c>
      <c r="C30" s="32">
        <v>22</v>
      </c>
      <c r="D30" s="33"/>
      <c r="E30" s="33"/>
      <c r="F30" s="33"/>
      <c r="G30" s="33"/>
    </row>
    <row r="31" spans="2:7" ht="28.5" customHeight="1" x14ac:dyDescent="0.3">
      <c r="B31" s="37" t="s">
        <v>151</v>
      </c>
      <c r="C31" s="37">
        <v>1527.27</v>
      </c>
      <c r="D31" s="33"/>
      <c r="E31" s="33"/>
      <c r="F31" s="33"/>
      <c r="G31" s="33"/>
    </row>
    <row r="32" spans="2:7" ht="28.5" customHeight="1" x14ac:dyDescent="0.3">
      <c r="B32" s="37" t="s">
        <v>152</v>
      </c>
      <c r="C32" s="37">
        <v>1527.27</v>
      </c>
      <c r="D32" s="33"/>
      <c r="E32" s="33"/>
      <c r="F32" s="33"/>
      <c r="G32" s="33"/>
    </row>
    <row r="33" spans="2:7" ht="28.5" customHeight="1" x14ac:dyDescent="0.3">
      <c r="B33" s="37" t="s">
        <v>153</v>
      </c>
      <c r="C33" s="37">
        <v>1550.53</v>
      </c>
      <c r="D33" s="33"/>
      <c r="E33" s="33"/>
      <c r="F33" s="33"/>
      <c r="G33" s="33"/>
    </row>
    <row r="34" spans="2:7" ht="28.5" customHeight="1" x14ac:dyDescent="0.3">
      <c r="B34" s="45" t="s">
        <v>154</v>
      </c>
      <c r="C34" s="32">
        <f>C21-C20+1</f>
        <v>184</v>
      </c>
      <c r="D34" s="33"/>
      <c r="E34" s="33"/>
      <c r="F34" s="33"/>
      <c r="G34" s="33"/>
    </row>
    <row r="35" spans="2:7" ht="28.5" customHeight="1" x14ac:dyDescent="0.3">
      <c r="B35" s="37" t="s">
        <v>155</v>
      </c>
      <c r="C35" s="37">
        <v>1496.77</v>
      </c>
      <c r="D35" s="33"/>
      <c r="E35" s="33"/>
      <c r="F35" s="33"/>
      <c r="G35" s="33"/>
    </row>
    <row r="36" spans="2:7" ht="28.5" customHeight="1" x14ac:dyDescent="0.3">
      <c r="B36" s="37" t="s">
        <v>156</v>
      </c>
      <c r="C36" s="37">
        <v>1546.67</v>
      </c>
      <c r="D36" s="33"/>
      <c r="E36" s="33"/>
      <c r="F36" s="33"/>
      <c r="G36" s="33"/>
    </row>
    <row r="37" spans="2:7" ht="28.5" customHeight="1" x14ac:dyDescent="0.3">
      <c r="B37" s="45" t="s">
        <v>157</v>
      </c>
      <c r="C37" s="32" t="e">
        <f ca="1">SOMMEPROD((JOURSEM(LIGNE(INDIRECT($C20&amp;":"&amp;$C21)))=7)*1)</f>
        <v>#NAME?</v>
      </c>
      <c r="D37" s="33"/>
      <c r="E37" s="33"/>
      <c r="F37" s="33"/>
      <c r="G37" s="33"/>
    </row>
    <row r="38" spans="2:7" ht="28.5" customHeight="1" x14ac:dyDescent="0.3">
      <c r="B38" s="45" t="s">
        <v>158</v>
      </c>
      <c r="C38" s="32" t="e">
        <f ca="1">C34-C37</f>
        <v>#NAME?</v>
      </c>
      <c r="D38" s="33"/>
      <c r="E38" s="33"/>
      <c r="F38" s="33"/>
      <c r="G38" s="33"/>
    </row>
    <row r="39" spans="2:7" ht="28.5" customHeight="1" x14ac:dyDescent="0.3">
      <c r="B39" s="37" t="s">
        <v>159</v>
      </c>
      <c r="C39" s="37">
        <v>1481.48</v>
      </c>
      <c r="D39" s="33"/>
      <c r="E39" s="33"/>
      <c r="F39" s="33"/>
      <c r="G39" s="33"/>
    </row>
    <row r="40" spans="2:7" ht="28.5" customHeight="1" x14ac:dyDescent="0.3">
      <c r="B40" s="37" t="s">
        <v>160</v>
      </c>
      <c r="C40" s="37">
        <v>1538.46</v>
      </c>
      <c r="D40" s="33"/>
      <c r="E40" s="33"/>
      <c r="F40" s="33"/>
      <c r="G40" s="33"/>
    </row>
    <row r="41" spans="2:7" ht="25.5" customHeight="1" x14ac:dyDescent="0.3"/>
  </sheetData>
  <mergeCells count="4">
    <mergeCell ref="B1:H1"/>
    <mergeCell ref="B2:H2"/>
    <mergeCell ref="B12:K12"/>
    <mergeCell ref="B15:G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380"/>
  <sheetViews>
    <sheetView topLeftCell="B11" zoomScaleNormal="100" workbookViewId="0">
      <selection activeCell="B288" sqref="A288:XFD380"/>
    </sheetView>
  </sheetViews>
  <sheetFormatPr baseColWidth="10" defaultColWidth="11.44140625" defaultRowHeight="13.8" x14ac:dyDescent="0.25"/>
  <cols>
    <col min="1" max="1" width="1.44140625" style="1" hidden="1" customWidth="1"/>
    <col min="2" max="2" width="11.44140625" style="1"/>
    <col min="3" max="3" width="28.33203125" style="1" customWidth="1"/>
    <col min="4" max="4" width="20" style="1" customWidth="1"/>
    <col min="5" max="5" width="25.5546875" style="1" customWidth="1"/>
    <col min="6" max="6" width="24.5546875" style="1" customWidth="1"/>
    <col min="7" max="7" width="20" style="1" customWidth="1"/>
    <col min="8" max="8" width="21.44140625" style="1" customWidth="1"/>
    <col min="9" max="9" width="18.109375" style="1" customWidth="1"/>
    <col min="10" max="16384" width="11.44140625" style="1"/>
  </cols>
  <sheetData>
    <row r="1" spans="2:10" ht="20.399999999999999" x14ac:dyDescent="0.35">
      <c r="B1" s="79" t="s">
        <v>0</v>
      </c>
      <c r="C1" s="79"/>
      <c r="D1" s="79"/>
      <c r="E1" s="79"/>
      <c r="F1" s="79"/>
      <c r="G1" s="79"/>
      <c r="H1" s="79"/>
      <c r="I1" s="79"/>
      <c r="J1" s="79"/>
    </row>
    <row r="2" spans="2:10" s="3" customFormat="1" ht="15.6" x14ac:dyDescent="0.3">
      <c r="B2" s="2"/>
    </row>
    <row r="3" spans="2:10" s="3" customFormat="1" ht="15.6" x14ac:dyDescent="0.3">
      <c r="B3" s="2" t="s">
        <v>1</v>
      </c>
    </row>
    <row r="4" spans="2:10" s="3" customFormat="1" ht="15.6" x14ac:dyDescent="0.3">
      <c r="B4" s="2"/>
    </row>
    <row r="5" spans="2:10" s="3" customFormat="1" ht="27.75" customHeight="1" x14ac:dyDescent="0.3">
      <c r="B5" s="2"/>
      <c r="C5" s="3" t="s">
        <v>2</v>
      </c>
    </row>
    <row r="6" spans="2:10" s="3" customFormat="1" ht="24.75" customHeight="1" x14ac:dyDescent="0.3">
      <c r="B6" s="2"/>
    </row>
    <row r="7" spans="2:10" s="3" customFormat="1" ht="156" customHeight="1" x14ac:dyDescent="0.3">
      <c r="B7" s="2"/>
      <c r="C7" s="95" t="s">
        <v>302</v>
      </c>
      <c r="D7" s="96"/>
      <c r="E7" s="96"/>
      <c r="F7" s="96"/>
      <c r="G7" s="96"/>
      <c r="H7" s="96"/>
    </row>
    <row r="8" spans="2:10" s="3" customFormat="1" ht="15.6" x14ac:dyDescent="0.3">
      <c r="B8" s="2"/>
    </row>
    <row r="9" spans="2:10" s="3" customFormat="1" ht="15.6" x14ac:dyDescent="0.3">
      <c r="B9" s="2" t="s">
        <v>3</v>
      </c>
    </row>
    <row r="10" spans="2:10" s="3" customFormat="1" ht="15.6" x14ac:dyDescent="0.3">
      <c r="B10" s="2"/>
    </row>
    <row r="11" spans="2:10" s="3" customFormat="1" ht="15.6" x14ac:dyDescent="0.3">
      <c r="B11" s="2"/>
      <c r="C11" s="3" t="s">
        <v>4</v>
      </c>
    </row>
    <row r="12" spans="2:10" s="3" customFormat="1" ht="15.6" x14ac:dyDescent="0.3">
      <c r="B12" s="2"/>
    </row>
    <row r="13" spans="2:10" s="3" customFormat="1" ht="15.6" x14ac:dyDescent="0.3">
      <c r="B13" s="2"/>
    </row>
    <row r="14" spans="2:10" s="3" customFormat="1" ht="15.6" x14ac:dyDescent="0.3">
      <c r="B14" s="2"/>
      <c r="E14" s="4" t="s">
        <v>316</v>
      </c>
    </row>
    <row r="15" spans="2:10" s="3" customFormat="1" ht="15.6" x14ac:dyDescent="0.3">
      <c r="B15" s="2"/>
      <c r="C15" s="3" t="s">
        <v>5</v>
      </c>
      <c r="E15" s="4">
        <v>365</v>
      </c>
    </row>
    <row r="16" spans="2:10" s="3" customFormat="1" ht="15.6" x14ac:dyDescent="0.3">
      <c r="B16" s="2"/>
      <c r="C16" s="3" t="s">
        <v>6</v>
      </c>
      <c r="E16" s="60">
        <v>-104</v>
      </c>
    </row>
    <row r="17" spans="2:7" s="3" customFormat="1" ht="15.6" x14ac:dyDescent="0.3">
      <c r="B17" s="2"/>
      <c r="C17" s="3" t="s">
        <v>8</v>
      </c>
      <c r="E17" s="60">
        <v>-25</v>
      </c>
    </row>
    <row r="18" spans="2:7" s="3" customFormat="1" ht="15.6" x14ac:dyDescent="0.3">
      <c r="B18" s="2"/>
      <c r="C18" s="3" t="s">
        <v>308</v>
      </c>
      <c r="E18" s="60">
        <v>-9</v>
      </c>
    </row>
    <row r="19" spans="2:7" s="3" customFormat="1" ht="15.6" x14ac:dyDescent="0.3">
      <c r="B19" s="2"/>
      <c r="C19" s="3" t="s">
        <v>9</v>
      </c>
      <c r="E19" s="86">
        <v>-9</v>
      </c>
    </row>
    <row r="20" spans="2:7" s="3" customFormat="1" ht="15.6" x14ac:dyDescent="0.3">
      <c r="B20" s="2"/>
      <c r="C20" s="3" t="s">
        <v>190</v>
      </c>
      <c r="E20" s="60" t="s">
        <v>191</v>
      </c>
    </row>
    <row r="21" spans="2:7" s="3" customFormat="1" ht="15.6" x14ac:dyDescent="0.3">
      <c r="B21" s="2"/>
      <c r="E21" s="5">
        <f>SUM(E15:E20)</f>
        <v>218</v>
      </c>
    </row>
    <row r="22" spans="2:7" s="3" customFormat="1" ht="15.6" x14ac:dyDescent="0.3">
      <c r="B22" s="2"/>
    </row>
    <row r="23" spans="2:7" s="3" customFormat="1" ht="15.6" x14ac:dyDescent="0.3">
      <c r="B23" s="2"/>
      <c r="C23" s="3" t="s">
        <v>317</v>
      </c>
    </row>
    <row r="24" spans="2:7" s="3" customFormat="1" ht="15.6" x14ac:dyDescent="0.3">
      <c r="B24" s="2"/>
    </row>
    <row r="25" spans="2:7" s="3" customFormat="1" ht="15.6" x14ac:dyDescent="0.3">
      <c r="B25" s="2"/>
      <c r="E25" s="5">
        <v>2023</v>
      </c>
      <c r="F25" s="5">
        <v>2024</v>
      </c>
    </row>
    <row r="26" spans="2:7" s="3" customFormat="1" ht="15.6" x14ac:dyDescent="0.3">
      <c r="B26" s="2"/>
      <c r="C26" s="3" t="s">
        <v>5</v>
      </c>
      <c r="E26" s="4">
        <v>365</v>
      </c>
      <c r="F26" s="4">
        <v>366</v>
      </c>
      <c r="G26" s="81" t="s">
        <v>305</v>
      </c>
    </row>
    <row r="27" spans="2:7" s="3" customFormat="1" ht="15.6" x14ac:dyDescent="0.3">
      <c r="B27" s="2"/>
      <c r="C27" s="3" t="s">
        <v>6</v>
      </c>
      <c r="E27" s="60">
        <v>-105</v>
      </c>
      <c r="F27" s="4">
        <v>-104</v>
      </c>
      <c r="G27" s="81" t="s">
        <v>7</v>
      </c>
    </row>
    <row r="28" spans="2:7" s="3" customFormat="1" ht="15.6" x14ac:dyDescent="0.3">
      <c r="B28" s="2"/>
      <c r="C28" s="3" t="s">
        <v>8</v>
      </c>
      <c r="E28" s="60">
        <v>-25</v>
      </c>
      <c r="F28" s="4">
        <v>-25</v>
      </c>
      <c r="G28" s="81"/>
    </row>
    <row r="29" spans="2:7" s="3" customFormat="1" ht="15.6" x14ac:dyDescent="0.3">
      <c r="B29" s="2"/>
      <c r="C29" s="3" t="s">
        <v>308</v>
      </c>
      <c r="E29" s="60">
        <v>-9</v>
      </c>
      <c r="F29" s="4">
        <v>-10</v>
      </c>
      <c r="G29" s="81" t="s">
        <v>304</v>
      </c>
    </row>
    <row r="30" spans="2:7" s="3" customFormat="1" ht="15.6" x14ac:dyDescent="0.3">
      <c r="B30" s="2"/>
      <c r="C30" s="3" t="s">
        <v>9</v>
      </c>
      <c r="E30" s="86">
        <v>-8</v>
      </c>
      <c r="F30" s="82">
        <v>-10</v>
      </c>
    </row>
    <row r="31" spans="2:7" s="3" customFormat="1" ht="15.6" x14ac:dyDescent="0.3">
      <c r="B31" s="2"/>
      <c r="C31" s="3" t="s">
        <v>190</v>
      </c>
      <c r="E31" s="60" t="s">
        <v>191</v>
      </c>
      <c r="F31" s="4">
        <f>1</f>
        <v>1</v>
      </c>
    </row>
    <row r="32" spans="2:7" s="3" customFormat="1" ht="15.6" x14ac:dyDescent="0.3">
      <c r="B32" s="2"/>
      <c r="E32" s="5">
        <f>SUM(E26:E31)</f>
        <v>218</v>
      </c>
      <c r="F32" s="5">
        <f>SUM(F26:F31)</f>
        <v>218</v>
      </c>
    </row>
    <row r="33" spans="2:8" s="3" customFormat="1" ht="15.6" x14ac:dyDescent="0.3">
      <c r="B33" s="2"/>
      <c r="F33" s="59"/>
    </row>
    <row r="34" spans="2:8" s="3" customFormat="1" ht="15.6" x14ac:dyDescent="0.3">
      <c r="B34" s="2"/>
      <c r="C34" s="3" t="s">
        <v>197</v>
      </c>
    </row>
    <row r="35" spans="2:8" s="3" customFormat="1" ht="15.6" x14ac:dyDescent="0.3">
      <c r="B35" s="2"/>
    </row>
    <row r="36" spans="2:8" s="3" customFormat="1" ht="15.6" x14ac:dyDescent="0.3">
      <c r="B36" s="2"/>
      <c r="E36" s="4" t="s">
        <v>316</v>
      </c>
      <c r="F36" s="5">
        <v>2023</v>
      </c>
      <c r="G36" s="5">
        <v>2024</v>
      </c>
    </row>
    <row r="37" spans="2:8" s="3" customFormat="1" ht="15.6" x14ac:dyDescent="0.3">
      <c r="B37" s="2"/>
      <c r="C37" s="3" t="s">
        <v>5</v>
      </c>
      <c r="E37" s="21">
        <f>E15</f>
        <v>365</v>
      </c>
      <c r="F37" s="4">
        <v>365</v>
      </c>
      <c r="G37" s="4">
        <v>366</v>
      </c>
    </row>
    <row r="38" spans="2:8" s="3" customFormat="1" ht="15.6" x14ac:dyDescent="0.3">
      <c r="B38" s="2"/>
      <c r="C38" s="3" t="s">
        <v>6</v>
      </c>
      <c r="E38" s="21">
        <f t="shared" ref="E38:E43" si="0">E16</f>
        <v>-104</v>
      </c>
      <c r="F38" s="60">
        <v>-105</v>
      </c>
      <c r="G38" s="4">
        <v>-104</v>
      </c>
    </row>
    <row r="39" spans="2:8" s="3" customFormat="1" ht="15.6" x14ac:dyDescent="0.3">
      <c r="B39" s="2"/>
      <c r="C39" s="3" t="s">
        <v>8</v>
      </c>
      <c r="E39" s="21">
        <f t="shared" si="0"/>
        <v>-25</v>
      </c>
      <c r="F39" s="60">
        <v>-25</v>
      </c>
      <c r="G39" s="4">
        <v>-25</v>
      </c>
    </row>
    <row r="40" spans="2:8" s="3" customFormat="1" ht="15.6" x14ac:dyDescent="0.3">
      <c r="B40" s="2"/>
      <c r="C40" s="3" t="s">
        <v>309</v>
      </c>
      <c r="E40" s="21">
        <f t="shared" si="0"/>
        <v>-9</v>
      </c>
      <c r="F40" s="60">
        <v>-9</v>
      </c>
      <c r="G40" s="4">
        <v>-10</v>
      </c>
      <c r="H40" s="3" t="s">
        <v>303</v>
      </c>
    </row>
    <row r="41" spans="2:8" s="3" customFormat="1" ht="15.6" x14ac:dyDescent="0.3">
      <c r="B41" s="2"/>
      <c r="C41" s="3" t="s">
        <v>9</v>
      </c>
      <c r="E41" s="87">
        <v>-11</v>
      </c>
      <c r="F41" s="86">
        <v>-11</v>
      </c>
      <c r="G41" s="82">
        <v>-12</v>
      </c>
    </row>
    <row r="42" spans="2:8" s="3" customFormat="1" ht="15.6" x14ac:dyDescent="0.3">
      <c r="B42" s="2"/>
      <c r="C42" s="3" t="s">
        <v>10</v>
      </c>
      <c r="E42" s="21" t="str">
        <f t="shared" si="0"/>
        <v xml:space="preserve"> + 1</v>
      </c>
      <c r="F42" s="60">
        <v>1</v>
      </c>
      <c r="G42" s="4">
        <v>1</v>
      </c>
    </row>
    <row r="43" spans="2:8" s="3" customFormat="1" ht="15.6" x14ac:dyDescent="0.3">
      <c r="B43" s="2"/>
      <c r="E43" s="21">
        <f>SUM(E37:E42)</f>
        <v>216</v>
      </c>
      <c r="F43" s="5">
        <f>SUM(F37:F42)</f>
        <v>216</v>
      </c>
      <c r="G43" s="5">
        <f>SUM(G37:G42)</f>
        <v>216</v>
      </c>
    </row>
    <row r="44" spans="2:8" s="3" customFormat="1" ht="15.6" x14ac:dyDescent="0.3">
      <c r="B44" s="2"/>
    </row>
    <row r="45" spans="2:8" s="3" customFormat="1" ht="15.6" x14ac:dyDescent="0.3">
      <c r="B45" s="85" t="s">
        <v>306</v>
      </c>
      <c r="C45" s="85"/>
      <c r="D45" s="85"/>
      <c r="E45" s="85"/>
      <c r="F45" s="85"/>
      <c r="G45" s="85"/>
      <c r="H45" s="85"/>
    </row>
    <row r="46" spans="2:8" s="3" customFormat="1" ht="15.6" x14ac:dyDescent="0.3">
      <c r="B46" s="88" t="s">
        <v>307</v>
      </c>
      <c r="C46" s="85"/>
      <c r="D46" s="85"/>
      <c r="E46" s="85"/>
      <c r="F46" s="85"/>
      <c r="G46" s="85"/>
      <c r="H46" s="85"/>
    </row>
    <row r="47" spans="2:8" s="3" customFormat="1" ht="15.6" x14ac:dyDescent="0.3"/>
    <row r="48" spans="2:8" s="3" customFormat="1" ht="15.6" x14ac:dyDescent="0.3">
      <c r="B48" s="2" t="s">
        <v>11</v>
      </c>
    </row>
    <row r="49" spans="2:9" s="3" customFormat="1" ht="15.6" x14ac:dyDescent="0.3">
      <c r="B49" s="2"/>
      <c r="C49" s="2"/>
    </row>
    <row r="50" spans="2:9" s="3" customFormat="1" ht="15.6" x14ac:dyDescent="0.3">
      <c r="B50" s="2"/>
      <c r="C50" s="3" t="s">
        <v>12</v>
      </c>
    </row>
    <row r="51" spans="2:9" s="3" customFormat="1" ht="15.6" x14ac:dyDescent="0.3">
      <c r="B51" s="2"/>
    </row>
    <row r="52" spans="2:9" s="3" customFormat="1" ht="15.6" x14ac:dyDescent="0.3">
      <c r="C52" s="2" t="s">
        <v>13</v>
      </c>
    </row>
    <row r="53" spans="2:9" s="3" customFormat="1" ht="15.6" x14ac:dyDescent="0.3">
      <c r="D53" s="2"/>
    </row>
    <row r="54" spans="2:9" customFormat="1" ht="26.4" x14ac:dyDescent="0.3">
      <c r="B54" s="6"/>
      <c r="C54" s="6"/>
      <c r="D54" s="6"/>
      <c r="E54" s="7" t="s">
        <v>209</v>
      </c>
      <c r="F54" s="8"/>
      <c r="G54" s="8"/>
      <c r="H54" s="7" t="s">
        <v>210</v>
      </c>
      <c r="I54" s="1"/>
    </row>
    <row r="55" spans="2:9" customFormat="1" ht="14.4" x14ac:dyDescent="0.3">
      <c r="B55" s="76" t="s">
        <v>198</v>
      </c>
      <c r="C55" s="77"/>
      <c r="D55" s="78"/>
      <c r="E55" s="9"/>
      <c r="F55" s="10" t="s">
        <v>14</v>
      </c>
      <c r="G55" s="10" t="s">
        <v>211</v>
      </c>
      <c r="H55" s="9">
        <v>1</v>
      </c>
      <c r="I55" s="1"/>
    </row>
    <row r="56" spans="2:9" customFormat="1" ht="14.4" x14ac:dyDescent="0.3">
      <c r="B56" s="76" t="s">
        <v>199</v>
      </c>
      <c r="C56" s="77"/>
      <c r="D56" s="78"/>
      <c r="E56" s="9">
        <v>1</v>
      </c>
      <c r="F56" s="10" t="s">
        <v>15</v>
      </c>
      <c r="G56" s="10" t="s">
        <v>212</v>
      </c>
      <c r="H56" s="9">
        <v>1</v>
      </c>
      <c r="I56" s="1"/>
    </row>
    <row r="57" spans="2:9" customFormat="1" ht="14.4" x14ac:dyDescent="0.3">
      <c r="B57" s="76" t="s">
        <v>200</v>
      </c>
      <c r="C57" s="77"/>
      <c r="D57" s="78"/>
      <c r="E57" s="9">
        <v>1</v>
      </c>
      <c r="F57" s="10" t="s">
        <v>16</v>
      </c>
      <c r="G57" s="10" t="s">
        <v>213</v>
      </c>
      <c r="H57" s="9">
        <v>1</v>
      </c>
      <c r="I57" s="1"/>
    </row>
    <row r="58" spans="2:9" customFormat="1" ht="14.4" x14ac:dyDescent="0.3">
      <c r="B58" s="76" t="s">
        <v>201</v>
      </c>
      <c r="C58" s="77"/>
      <c r="D58" s="78"/>
      <c r="E58" s="9">
        <v>1</v>
      </c>
      <c r="F58" s="10" t="s">
        <v>17</v>
      </c>
      <c r="G58" s="10" t="s">
        <v>214</v>
      </c>
      <c r="H58" s="9">
        <v>1</v>
      </c>
      <c r="I58" s="1"/>
    </row>
    <row r="59" spans="2:9" customFormat="1" ht="14.4" x14ac:dyDescent="0.3">
      <c r="B59" s="76" t="s">
        <v>202</v>
      </c>
      <c r="C59" s="77"/>
      <c r="D59" s="78"/>
      <c r="E59" s="9">
        <v>1</v>
      </c>
      <c r="F59" s="10" t="s">
        <v>18</v>
      </c>
      <c r="G59" s="10" t="s">
        <v>215</v>
      </c>
      <c r="H59" s="9">
        <v>1</v>
      </c>
      <c r="I59" s="1"/>
    </row>
    <row r="60" spans="2:9" customFormat="1" ht="14.4" x14ac:dyDescent="0.3">
      <c r="B60" s="76" t="s">
        <v>203</v>
      </c>
      <c r="C60" s="77"/>
      <c r="D60" s="78"/>
      <c r="E60" s="9">
        <v>1</v>
      </c>
      <c r="F60" s="10" t="s">
        <v>19</v>
      </c>
      <c r="G60" s="10" t="s">
        <v>216</v>
      </c>
      <c r="H60" s="9">
        <v>1</v>
      </c>
      <c r="I60" s="1"/>
    </row>
    <row r="61" spans="2:9" customFormat="1" ht="14.4" x14ac:dyDescent="0.3">
      <c r="B61" s="80" t="s">
        <v>204</v>
      </c>
      <c r="C61" s="77"/>
      <c r="D61" s="78"/>
      <c r="E61" s="9">
        <v>1</v>
      </c>
      <c r="F61" s="10" t="s">
        <v>20</v>
      </c>
      <c r="G61" s="10" t="s">
        <v>217</v>
      </c>
      <c r="H61" s="9"/>
      <c r="I61" s="1"/>
    </row>
    <row r="62" spans="2:9" customFormat="1" ht="14.4" x14ac:dyDescent="0.3">
      <c r="B62" s="76" t="s">
        <v>205</v>
      </c>
      <c r="C62" s="77"/>
      <c r="D62" s="78"/>
      <c r="E62" s="9">
        <v>1</v>
      </c>
      <c r="F62" s="10" t="s">
        <v>21</v>
      </c>
      <c r="G62" s="10" t="s">
        <v>218</v>
      </c>
      <c r="H62" s="9">
        <v>1</v>
      </c>
      <c r="I62" s="1"/>
    </row>
    <row r="63" spans="2:9" customFormat="1" ht="14.4" x14ac:dyDescent="0.3">
      <c r="B63" s="76" t="s">
        <v>206</v>
      </c>
      <c r="C63" s="77"/>
      <c r="D63" s="78"/>
      <c r="E63" s="9">
        <v>1</v>
      </c>
      <c r="F63" s="10" t="s">
        <v>22</v>
      </c>
      <c r="G63" s="10" t="s">
        <v>219</v>
      </c>
      <c r="H63" s="9">
        <v>1</v>
      </c>
      <c r="I63" s="1"/>
    </row>
    <row r="64" spans="2:9" customFormat="1" ht="14.4" x14ac:dyDescent="0.3">
      <c r="B64" s="76" t="s">
        <v>207</v>
      </c>
      <c r="C64" s="77"/>
      <c r="D64" s="78"/>
      <c r="E64" s="9"/>
      <c r="F64" s="10" t="s">
        <v>23</v>
      </c>
      <c r="G64" s="10" t="s">
        <v>220</v>
      </c>
      <c r="H64" s="9">
        <v>1</v>
      </c>
      <c r="I64" s="1"/>
    </row>
    <row r="65" spans="2:9" customFormat="1" ht="14.4" x14ac:dyDescent="0.3">
      <c r="B65" s="76" t="s">
        <v>208</v>
      </c>
      <c r="C65" s="77"/>
      <c r="D65" s="78"/>
      <c r="E65" s="9">
        <v>1</v>
      </c>
      <c r="F65" s="10" t="s">
        <v>24</v>
      </c>
      <c r="G65" s="10" t="s">
        <v>221</v>
      </c>
      <c r="H65" s="9">
        <v>1</v>
      </c>
      <c r="I65" s="1"/>
    </row>
    <row r="66" spans="2:9" customFormat="1" ht="14.4" x14ac:dyDescent="0.3">
      <c r="B66" s="11"/>
      <c r="C66" s="11"/>
      <c r="D66" s="11"/>
      <c r="E66" s="9">
        <f>SUM(E56:E65)</f>
        <v>9</v>
      </c>
      <c r="G66" s="11"/>
      <c r="H66" s="9">
        <f>SUM(H55:H65)</f>
        <v>10</v>
      </c>
      <c r="I66" s="1"/>
    </row>
    <row r="67" spans="2:9" customFormat="1" ht="14.4" x14ac:dyDescent="0.3">
      <c r="B67" s="11"/>
      <c r="C67" s="11"/>
      <c r="D67" s="11"/>
      <c r="E67" s="12"/>
      <c r="G67" s="11"/>
      <c r="H67" s="11"/>
      <c r="I67" s="12"/>
    </row>
    <row r="68" spans="2:9" s="3" customFormat="1" ht="15.6" x14ac:dyDescent="0.3">
      <c r="C68" s="5" t="s">
        <v>222</v>
      </c>
      <c r="D68" s="2"/>
      <c r="F68" s="5" t="s">
        <v>310</v>
      </c>
    </row>
    <row r="69" spans="2:9" s="3" customFormat="1" ht="15.6" x14ac:dyDescent="0.3">
      <c r="C69" s="4">
        <v>365</v>
      </c>
      <c r="F69" s="4">
        <v>366</v>
      </c>
      <c r="G69" s="3" t="s">
        <v>227</v>
      </c>
    </row>
    <row r="70" spans="2:9" s="3" customFormat="1" ht="15.6" x14ac:dyDescent="0.3">
      <c r="C70" s="4">
        <v>105</v>
      </c>
      <c r="D70" s="3" t="s">
        <v>25</v>
      </c>
      <c r="F70" s="4">
        <f>G38</f>
        <v>-104</v>
      </c>
      <c r="G70" s="3" t="s">
        <v>25</v>
      </c>
    </row>
    <row r="71" spans="2:9" s="3" customFormat="1" ht="15.6" x14ac:dyDescent="0.3">
      <c r="C71" s="4">
        <v>25</v>
      </c>
      <c r="D71" s="3" t="s">
        <v>26</v>
      </c>
      <c r="F71" s="4">
        <f>G39</f>
        <v>-25</v>
      </c>
      <c r="G71" s="3" t="s">
        <v>26</v>
      </c>
    </row>
    <row r="72" spans="2:9" s="3" customFormat="1" ht="15.6" x14ac:dyDescent="0.3">
      <c r="C72" s="4">
        <v>9</v>
      </c>
      <c r="D72" s="3" t="s">
        <v>224</v>
      </c>
      <c r="F72" s="4">
        <f>G40</f>
        <v>-10</v>
      </c>
      <c r="G72" s="3" t="s">
        <v>301</v>
      </c>
    </row>
    <row r="73" spans="2:9" s="3" customFormat="1" ht="15.6" x14ac:dyDescent="0.3">
      <c r="C73" s="4">
        <v>11</v>
      </c>
      <c r="D73" s="3" t="s">
        <v>225</v>
      </c>
      <c r="F73" s="82">
        <v>-12</v>
      </c>
      <c r="G73" s="3" t="s">
        <v>300</v>
      </c>
    </row>
    <row r="74" spans="2:9" s="3" customFormat="1" ht="15.6" x14ac:dyDescent="0.3">
      <c r="C74" s="4">
        <v>1</v>
      </c>
      <c r="D74" s="3" t="s">
        <v>10</v>
      </c>
      <c r="F74" s="4">
        <f>G42</f>
        <v>1</v>
      </c>
      <c r="G74" s="3" t="s">
        <v>10</v>
      </c>
    </row>
    <row r="75" spans="2:9" s="3" customFormat="1" ht="15.6" x14ac:dyDescent="0.3">
      <c r="C75" s="4">
        <f>C69-C70-C71-C72-C73+C74</f>
        <v>216</v>
      </c>
      <c r="D75" s="3" t="s">
        <v>27</v>
      </c>
      <c r="F75" s="4">
        <f>SUM(F69:F74)</f>
        <v>216</v>
      </c>
      <c r="G75" s="3" t="s">
        <v>27</v>
      </c>
    </row>
    <row r="76" spans="2:9" s="3" customFormat="1" ht="15.6" x14ac:dyDescent="0.3"/>
    <row r="77" spans="2:9" s="3" customFormat="1" ht="15.6" x14ac:dyDescent="0.3">
      <c r="B77" s="2" t="s">
        <v>188</v>
      </c>
    </row>
    <row r="78" spans="2:9" s="3" customFormat="1" ht="15.6" x14ac:dyDescent="0.3">
      <c r="C78" s="83" t="s">
        <v>311</v>
      </c>
    </row>
    <row r="79" spans="2:9" s="3" customFormat="1" ht="15.6" x14ac:dyDescent="0.3">
      <c r="C79" s="3" t="s">
        <v>189</v>
      </c>
      <c r="D79" s="3" t="s">
        <v>231</v>
      </c>
      <c r="F79" s="3">
        <f>C69-C70-C71-C72+C74</f>
        <v>227</v>
      </c>
      <c r="G79" s="3" t="s">
        <v>229</v>
      </c>
    </row>
    <row r="80" spans="2:9" s="3" customFormat="1" ht="15.6" x14ac:dyDescent="0.3">
      <c r="C80" s="3" t="s">
        <v>312</v>
      </c>
      <c r="D80" s="3" t="s">
        <v>313</v>
      </c>
      <c r="F80" s="3">
        <f>F69+F70+F71+F72+F74</f>
        <v>228</v>
      </c>
      <c r="G80" s="3" t="s">
        <v>230</v>
      </c>
    </row>
    <row r="81" spans="2:8" s="3" customFormat="1" ht="15.6" x14ac:dyDescent="0.3"/>
    <row r="82" spans="2:8" s="3" customFormat="1" ht="27.6" customHeight="1" x14ac:dyDescent="0.3">
      <c r="B82" s="84" t="s">
        <v>294</v>
      </c>
      <c r="C82" s="85"/>
      <c r="D82" s="85"/>
      <c r="E82" s="85"/>
      <c r="F82" s="85"/>
      <c r="G82" s="85"/>
      <c r="H82" s="85"/>
    </row>
    <row r="83" spans="2:8" s="3" customFormat="1" ht="15.6" x14ac:dyDescent="0.3">
      <c r="C83" s="2"/>
    </row>
    <row r="84" spans="2:8" s="3" customFormat="1" ht="15.6" x14ac:dyDescent="0.3">
      <c r="B84" s="2" t="s">
        <v>28</v>
      </c>
    </row>
    <row r="85" spans="2:8" s="3" customFormat="1" ht="15.6" x14ac:dyDescent="0.3">
      <c r="C85" s="2"/>
    </row>
    <row r="86" spans="2:8" s="3" customFormat="1" ht="15.6" x14ac:dyDescent="0.3">
      <c r="C86" s="3" t="s">
        <v>29</v>
      </c>
    </row>
    <row r="87" spans="2:8" s="3" customFormat="1" ht="15.6" x14ac:dyDescent="0.3">
      <c r="C87" s="3" t="s">
        <v>30</v>
      </c>
    </row>
    <row r="88" spans="2:8" s="3" customFormat="1" ht="15.6" x14ac:dyDescent="0.3">
      <c r="C88" s="3" t="s">
        <v>31</v>
      </c>
    </row>
    <row r="89" spans="2:8" s="3" customFormat="1" ht="15.6" x14ac:dyDescent="0.3">
      <c r="C89" s="3" t="s">
        <v>32</v>
      </c>
    </row>
    <row r="90" spans="2:8" s="3" customFormat="1" ht="15.6" x14ac:dyDescent="0.3">
      <c r="C90" s="3" t="s">
        <v>33</v>
      </c>
    </row>
    <row r="91" spans="2:8" s="3" customFormat="1" ht="15.6" x14ac:dyDescent="0.3"/>
    <row r="92" spans="2:8" s="3" customFormat="1" ht="15.6" x14ac:dyDescent="0.3">
      <c r="C92" s="2" t="s">
        <v>34</v>
      </c>
    </row>
    <row r="93" spans="2:8" s="3" customFormat="1" ht="15.6" x14ac:dyDescent="0.3"/>
    <row r="94" spans="2:8" s="3" customFormat="1" ht="15.6" x14ac:dyDescent="0.3">
      <c r="C94" s="3" t="s">
        <v>35</v>
      </c>
    </row>
    <row r="95" spans="2:8" s="3" customFormat="1" ht="15.6" x14ac:dyDescent="0.3">
      <c r="C95" s="3" t="s">
        <v>36</v>
      </c>
    </row>
    <row r="96" spans="2:8" s="3" customFormat="1" ht="15.6" x14ac:dyDescent="0.3">
      <c r="C96" s="3" t="s">
        <v>37</v>
      </c>
    </row>
    <row r="97" spans="2:11" s="3" customFormat="1" ht="15.6" x14ac:dyDescent="0.3"/>
    <row r="98" spans="2:11" s="3" customFormat="1" ht="15.6" x14ac:dyDescent="0.3">
      <c r="E98" s="3" t="s">
        <v>38</v>
      </c>
      <c r="F98" s="3" t="s">
        <v>39</v>
      </c>
      <c r="G98" s="13">
        <f>40000/218</f>
        <v>183.48623853211009</v>
      </c>
    </row>
    <row r="99" spans="2:11" s="3" customFormat="1" ht="15.6" x14ac:dyDescent="0.3">
      <c r="E99" s="3" t="s">
        <v>40</v>
      </c>
      <c r="F99" s="3" t="s">
        <v>41</v>
      </c>
      <c r="G99" s="13">
        <f>G98/7</f>
        <v>26.212319790301443</v>
      </c>
    </row>
    <row r="100" spans="2:11" s="3" customFormat="1" ht="15.6" x14ac:dyDescent="0.3">
      <c r="E100" s="3" t="s">
        <v>42</v>
      </c>
      <c r="G100" s="14">
        <f>G99*3</f>
        <v>78.636959370904322</v>
      </c>
    </row>
    <row r="101" spans="2:11" s="3" customFormat="1" ht="15.6" x14ac:dyDescent="0.3">
      <c r="K101" s="15"/>
    </row>
    <row r="102" spans="2:11" s="3" customFormat="1" ht="15.6" x14ac:dyDescent="0.3">
      <c r="C102" s="2" t="s">
        <v>43</v>
      </c>
      <c r="D102" s="3" t="s">
        <v>44</v>
      </c>
      <c r="K102" s="15"/>
    </row>
    <row r="103" spans="2:11" s="3" customFormat="1" ht="15.6" x14ac:dyDescent="0.3">
      <c r="K103" s="15"/>
    </row>
    <row r="104" spans="2:11" ht="15.6" x14ac:dyDescent="0.3">
      <c r="D104" s="1" t="s">
        <v>45</v>
      </c>
      <c r="F104" s="1" t="s">
        <v>46</v>
      </c>
      <c r="G104" s="16">
        <v>146.10412844036696</v>
      </c>
    </row>
    <row r="105" spans="2:11" s="3" customFormat="1" ht="15.6" x14ac:dyDescent="0.3">
      <c r="D105" s="3" t="s">
        <v>47</v>
      </c>
      <c r="F105" s="3" t="s">
        <v>48</v>
      </c>
      <c r="G105" s="16">
        <f>G104*12</f>
        <v>1753.2495412844037</v>
      </c>
      <c r="K105" s="15"/>
    </row>
    <row r="106" spans="2:11" s="3" customFormat="1" ht="15.6" x14ac:dyDescent="0.3">
      <c r="D106" s="3" t="s">
        <v>49</v>
      </c>
      <c r="G106" s="16">
        <f>40000/G105</f>
        <v>22.814778534433046</v>
      </c>
      <c r="K106" s="15"/>
    </row>
    <row r="107" spans="2:11" s="3" customFormat="1" ht="15.6" x14ac:dyDescent="0.3">
      <c r="D107" s="3" t="s">
        <v>50</v>
      </c>
      <c r="G107" s="17">
        <f>G106*3</f>
        <v>68.444335603299137</v>
      </c>
      <c r="K107" s="15"/>
    </row>
    <row r="108" spans="2:11" s="3" customFormat="1" ht="15.6" x14ac:dyDescent="0.3">
      <c r="J108" s="18"/>
      <c r="K108" s="15"/>
    </row>
    <row r="109" spans="2:11" s="3" customFormat="1" ht="15.6" x14ac:dyDescent="0.3">
      <c r="B109" s="2" t="s">
        <v>51</v>
      </c>
      <c r="K109" s="15"/>
    </row>
    <row r="110" spans="2:11" s="3" customFormat="1" ht="15.6" x14ac:dyDescent="0.3">
      <c r="C110" s="2"/>
      <c r="K110" s="15"/>
    </row>
    <row r="111" spans="2:11" s="3" customFormat="1" ht="15.6" x14ac:dyDescent="0.3">
      <c r="C111" s="2" t="s">
        <v>52</v>
      </c>
    </row>
    <row r="112" spans="2:11" s="3" customFormat="1" ht="15.6" x14ac:dyDescent="0.3">
      <c r="C112" s="2"/>
    </row>
    <row r="113" spans="3:11" s="3" customFormat="1" ht="15.6" x14ac:dyDescent="0.3">
      <c r="C113" s="2"/>
      <c r="D113" s="3" t="s">
        <v>53</v>
      </c>
    </row>
    <row r="114" spans="3:11" s="3" customFormat="1" ht="15.6" x14ac:dyDescent="0.3">
      <c r="D114" s="3" t="s">
        <v>54</v>
      </c>
    </row>
    <row r="115" spans="3:11" s="3" customFormat="1" ht="15.6" x14ac:dyDescent="0.3">
      <c r="D115" s="3" t="s">
        <v>295</v>
      </c>
    </row>
    <row r="116" spans="3:11" s="3" customFormat="1" ht="15.6" x14ac:dyDescent="0.3">
      <c r="D116" s="3" t="s">
        <v>296</v>
      </c>
    </row>
    <row r="117" spans="3:11" s="3" customFormat="1" ht="15.6" x14ac:dyDescent="0.3"/>
    <row r="118" spans="3:11" s="3" customFormat="1" ht="15.6" x14ac:dyDescent="0.3">
      <c r="D118" s="3" t="s">
        <v>55</v>
      </c>
    </row>
    <row r="119" spans="3:11" s="3" customFormat="1" ht="15.6" x14ac:dyDescent="0.3">
      <c r="K119" s="15"/>
    </row>
    <row r="120" spans="3:11" s="3" customFormat="1" ht="15.6" x14ac:dyDescent="0.3">
      <c r="E120" s="3" t="s">
        <v>297</v>
      </c>
    </row>
    <row r="121" spans="3:11" s="3" customFormat="1" ht="15.6" x14ac:dyDescent="0.3">
      <c r="G121" s="3" t="s">
        <v>298</v>
      </c>
      <c r="H121" s="19">
        <f>40000/252</f>
        <v>158.73015873015873</v>
      </c>
    </row>
    <row r="122" spans="3:11" s="3" customFormat="1" ht="15.6" x14ac:dyDescent="0.3">
      <c r="E122" s="3" t="s">
        <v>56</v>
      </c>
      <c r="H122" s="20"/>
    </row>
    <row r="123" spans="3:11" s="3" customFormat="1" ht="15.6" x14ac:dyDescent="0.3">
      <c r="G123" s="3" t="s">
        <v>299</v>
      </c>
      <c r="H123" s="19">
        <f>H121*5</f>
        <v>793.65079365079373</v>
      </c>
    </row>
    <row r="124" spans="3:11" s="3" customFormat="1" ht="15.6" x14ac:dyDescent="0.3">
      <c r="I124" s="20"/>
    </row>
    <row r="125" spans="3:11" s="3" customFormat="1" ht="15.6" x14ac:dyDescent="0.3">
      <c r="D125" s="3" t="s">
        <v>166</v>
      </c>
      <c r="I125" s="20"/>
    </row>
    <row r="126" spans="3:11" s="3" customFormat="1" ht="15.6" x14ac:dyDescent="0.3">
      <c r="H126" s="20"/>
    </row>
    <row r="127" spans="3:11" s="3" customFormat="1" ht="15.6" x14ac:dyDescent="0.3">
      <c r="E127" s="21">
        <v>218</v>
      </c>
      <c r="G127" s="3" t="s">
        <v>57</v>
      </c>
      <c r="H127" s="19">
        <f>40000/E131</f>
        <v>153.25670498084293</v>
      </c>
    </row>
    <row r="128" spans="3:11" s="3" customFormat="1" ht="15.6" x14ac:dyDescent="0.3">
      <c r="E128" s="21">
        <v>25</v>
      </c>
      <c r="H128" s="20"/>
    </row>
    <row r="129" spans="2:10" s="3" customFormat="1" ht="15.6" x14ac:dyDescent="0.3">
      <c r="E129" s="21">
        <v>9</v>
      </c>
      <c r="G129" s="3" t="s">
        <v>58</v>
      </c>
      <c r="H129" s="19">
        <f>H127*5</f>
        <v>766.28352490421457</v>
      </c>
    </row>
    <row r="130" spans="2:10" s="3" customFormat="1" ht="15.6" x14ac:dyDescent="0.3">
      <c r="E130" s="21">
        <v>9</v>
      </c>
      <c r="I130" s="20"/>
    </row>
    <row r="131" spans="2:10" s="3" customFormat="1" ht="15.6" x14ac:dyDescent="0.3">
      <c r="E131" s="21">
        <f>SUM(E127:E130)</f>
        <v>261</v>
      </c>
      <c r="I131" s="20"/>
    </row>
    <row r="132" spans="2:10" s="3" customFormat="1" ht="15.6" x14ac:dyDescent="0.3">
      <c r="B132" s="2"/>
      <c r="C132" s="2" t="s">
        <v>59</v>
      </c>
    </row>
    <row r="133" spans="2:10" s="3" customFormat="1" ht="15.6" x14ac:dyDescent="0.3">
      <c r="B133" s="2"/>
    </row>
    <row r="134" spans="2:10" s="3" customFormat="1" ht="15.6" x14ac:dyDescent="0.3">
      <c r="D134" s="3" t="s">
        <v>167</v>
      </c>
      <c r="H134" s="3" t="s">
        <v>60</v>
      </c>
      <c r="I134" s="22">
        <f>40000/12</f>
        <v>3333.3333333333335</v>
      </c>
    </row>
    <row r="135" spans="2:10" s="3" customFormat="1" ht="15.6" x14ac:dyDescent="0.3">
      <c r="D135" s="3" t="s">
        <v>61</v>
      </c>
      <c r="I135" s="22">
        <v>153.82248884786955</v>
      </c>
    </row>
    <row r="136" spans="2:10" s="3" customFormat="1" ht="15.6" x14ac:dyDescent="0.3">
      <c r="D136" s="3" t="s">
        <v>62</v>
      </c>
      <c r="I136" s="19">
        <f>5*I135</f>
        <v>769.11244423934772</v>
      </c>
    </row>
    <row r="137" spans="2:10" x14ac:dyDescent="0.25">
      <c r="D137" s="1" t="s">
        <v>63</v>
      </c>
    </row>
    <row r="139" spans="2:10" x14ac:dyDescent="0.25">
      <c r="C139" s="23" t="s">
        <v>64</v>
      </c>
    </row>
    <row r="140" spans="2:10" ht="15.6" x14ac:dyDescent="0.3">
      <c r="D140" s="3" t="s">
        <v>65</v>
      </c>
      <c r="E140" s="3"/>
      <c r="F140" s="3"/>
      <c r="G140" s="3"/>
      <c r="H140" s="24">
        <v>40000</v>
      </c>
    </row>
    <row r="141" spans="2:10" ht="15.6" x14ac:dyDescent="0.3">
      <c r="D141" s="3" t="s">
        <v>66</v>
      </c>
      <c r="E141" s="3"/>
      <c r="F141" s="3"/>
      <c r="G141" s="3"/>
      <c r="H141" s="24" t="s">
        <v>67</v>
      </c>
      <c r="I141" s="25">
        <f>40000/218</f>
        <v>183.48623853211009</v>
      </c>
    </row>
    <row r="142" spans="2:10" ht="15.6" x14ac:dyDescent="0.3">
      <c r="D142" s="3" t="s">
        <v>68</v>
      </c>
      <c r="E142" s="3"/>
      <c r="F142" s="3"/>
      <c r="G142" s="3"/>
      <c r="H142" s="24">
        <v>5</v>
      </c>
      <c r="I142" s="19">
        <f>I141*H142</f>
        <v>917.43119266055044</v>
      </c>
    </row>
    <row r="143" spans="2:10" x14ac:dyDescent="0.25">
      <c r="J143" s="20"/>
    </row>
    <row r="144" spans="2:10" ht="15.6" x14ac:dyDescent="0.3">
      <c r="C144" s="3" t="s">
        <v>69</v>
      </c>
      <c r="H144" s="1" t="s">
        <v>314</v>
      </c>
      <c r="J144" s="20"/>
    </row>
    <row r="145" spans="2:10" x14ac:dyDescent="0.25">
      <c r="J145" s="20"/>
    </row>
    <row r="146" spans="2:10" ht="15.6" x14ac:dyDescent="0.3">
      <c r="B146" s="2" t="s">
        <v>185</v>
      </c>
    </row>
    <row r="148" spans="2:10" x14ac:dyDescent="0.25">
      <c r="C148" s="1" t="s">
        <v>170</v>
      </c>
    </row>
    <row r="149" spans="2:10" x14ac:dyDescent="0.25">
      <c r="C149" s="1" t="s">
        <v>192</v>
      </c>
    </row>
    <row r="152" spans="2:10" x14ac:dyDescent="0.25">
      <c r="B152" s="57" t="s">
        <v>52</v>
      </c>
      <c r="C152" s="48"/>
      <c r="D152" s="48"/>
      <c r="E152" s="48"/>
    </row>
    <row r="153" spans="2:10" x14ac:dyDescent="0.25">
      <c r="B153" s="48"/>
      <c r="C153" s="55" t="s">
        <v>171</v>
      </c>
      <c r="D153" s="48"/>
      <c r="E153" s="48"/>
    </row>
    <row r="154" spans="2:10" x14ac:dyDescent="0.25">
      <c r="B154" s="48"/>
      <c r="C154" s="55" t="s">
        <v>172</v>
      </c>
      <c r="D154" s="48"/>
      <c r="E154" s="48"/>
    </row>
    <row r="155" spans="2:10" x14ac:dyDescent="0.25">
      <c r="B155" s="48"/>
      <c r="C155" s="55" t="s">
        <v>184</v>
      </c>
      <c r="D155" s="48"/>
      <c r="E155" s="48"/>
    </row>
    <row r="156" spans="2:10" x14ac:dyDescent="0.25">
      <c r="B156" s="48"/>
      <c r="C156" s="55" t="s">
        <v>173</v>
      </c>
      <c r="D156" s="48"/>
      <c r="E156" s="48"/>
    </row>
    <row r="157" spans="2:10" x14ac:dyDescent="0.25">
      <c r="B157" s="48"/>
      <c r="C157" s="55"/>
      <c r="D157" s="48"/>
      <c r="E157" s="48"/>
    </row>
    <row r="158" spans="2:10" x14ac:dyDescent="0.25">
      <c r="B158" s="48"/>
      <c r="C158" s="55" t="s">
        <v>233</v>
      </c>
      <c r="D158" s="48"/>
      <c r="E158" s="48"/>
    </row>
    <row r="159" spans="2:10" x14ac:dyDescent="0.25">
      <c r="B159" s="48"/>
      <c r="C159" s="48"/>
      <c r="D159" s="48"/>
      <c r="E159" s="48"/>
    </row>
    <row r="160" spans="2:10" x14ac:dyDescent="0.25">
      <c r="B160" s="48"/>
      <c r="C160" s="55" t="s">
        <v>234</v>
      </c>
      <c r="D160" s="48"/>
      <c r="E160" s="48"/>
      <c r="F160" s="1" t="s">
        <v>232</v>
      </c>
    </row>
    <row r="161" spans="2:8" x14ac:dyDescent="0.25">
      <c r="B161" s="48"/>
      <c r="C161" s="48"/>
      <c r="D161" s="48"/>
      <c r="E161" s="48"/>
    </row>
    <row r="162" spans="2:8" x14ac:dyDescent="0.25">
      <c r="B162" s="48"/>
      <c r="C162" s="48"/>
      <c r="D162" s="55" t="s">
        <v>176</v>
      </c>
      <c r="E162" s="55"/>
      <c r="F162" s="62">
        <v>45405</v>
      </c>
      <c r="G162" s="48"/>
    </row>
    <row r="163" spans="2:8" x14ac:dyDescent="0.25">
      <c r="B163" s="48"/>
      <c r="C163" s="48"/>
      <c r="D163" s="55" t="s">
        <v>180</v>
      </c>
      <c r="E163" s="55"/>
      <c r="F163" s="62">
        <v>45292</v>
      </c>
      <c r="G163" s="48"/>
    </row>
    <row r="164" spans="2:8" x14ac:dyDescent="0.25">
      <c r="B164" s="48"/>
      <c r="C164" s="48"/>
      <c r="D164" s="55" t="s">
        <v>177</v>
      </c>
      <c r="E164" s="55"/>
      <c r="F164" s="62">
        <v>45657</v>
      </c>
      <c r="G164" s="48"/>
    </row>
    <row r="165" spans="2:8" x14ac:dyDescent="0.25">
      <c r="B165" s="48"/>
      <c r="C165" s="48"/>
      <c r="D165" s="55" t="s">
        <v>178</v>
      </c>
      <c r="E165" s="56"/>
      <c r="F165" s="64">
        <f>F164-F162+1</f>
        <v>253</v>
      </c>
      <c r="G165" s="58"/>
      <c r="H165" s="53"/>
    </row>
    <row r="166" spans="2:8" x14ac:dyDescent="0.25">
      <c r="B166" s="48"/>
      <c r="C166" s="48"/>
      <c r="D166" s="48"/>
      <c r="E166" s="52"/>
      <c r="F166" s="54"/>
    </row>
    <row r="167" spans="2:8" x14ac:dyDescent="0.25">
      <c r="B167" s="48"/>
      <c r="C167" s="55" t="s">
        <v>183</v>
      </c>
      <c r="D167" s="48"/>
      <c r="E167" s="48"/>
    </row>
    <row r="168" spans="2:8" x14ac:dyDescent="0.25">
      <c r="B168" s="48"/>
      <c r="C168" s="48"/>
      <c r="D168" s="48"/>
      <c r="E168" s="48"/>
    </row>
    <row r="169" spans="2:8" x14ac:dyDescent="0.25">
      <c r="B169" s="48"/>
      <c r="C169" s="48"/>
      <c r="D169" s="55" t="s">
        <v>176</v>
      </c>
      <c r="E169" s="55"/>
      <c r="F169" s="62">
        <v>45405</v>
      </c>
      <c r="G169" s="48" t="s">
        <v>193</v>
      </c>
    </row>
    <row r="170" spans="2:8" x14ac:dyDescent="0.25">
      <c r="B170" s="48"/>
      <c r="C170" s="48"/>
      <c r="D170" s="55" t="s">
        <v>179</v>
      </c>
      <c r="E170" s="55"/>
      <c r="F170" s="62">
        <v>45292</v>
      </c>
      <c r="G170" s="48" t="s">
        <v>194</v>
      </c>
    </row>
    <row r="171" spans="2:8" x14ac:dyDescent="0.25">
      <c r="B171" s="48"/>
      <c r="C171" s="48"/>
      <c r="D171" s="55" t="s">
        <v>177</v>
      </c>
      <c r="E171" s="55"/>
      <c r="F171" s="62">
        <v>45657</v>
      </c>
      <c r="G171" s="48" t="s">
        <v>235</v>
      </c>
    </row>
    <row r="172" spans="2:8" x14ac:dyDescent="0.25">
      <c r="B172" s="48"/>
      <c r="C172" s="48"/>
      <c r="D172" s="55" t="s">
        <v>178</v>
      </c>
      <c r="E172" s="55"/>
      <c r="F172" s="63">
        <f>F171-F169+1</f>
        <v>253</v>
      </c>
      <c r="G172" s="58" t="s">
        <v>236</v>
      </c>
    </row>
    <row r="173" spans="2:8" x14ac:dyDescent="0.25">
      <c r="B173" s="48"/>
      <c r="C173" s="48"/>
      <c r="D173" s="55" t="s">
        <v>181</v>
      </c>
      <c r="E173" s="55"/>
      <c r="F173" s="64">
        <f>NETWORKDAYS(F169,F171)</f>
        <v>181</v>
      </c>
      <c r="G173" s="58" t="s">
        <v>237</v>
      </c>
    </row>
    <row r="174" spans="2:8" x14ac:dyDescent="0.25">
      <c r="B174" s="48"/>
      <c r="C174" s="48"/>
      <c r="D174" s="55" t="s">
        <v>182</v>
      </c>
      <c r="E174" s="55"/>
      <c r="F174" s="63">
        <f>F172-F173</f>
        <v>72</v>
      </c>
      <c r="G174" s="58" t="s">
        <v>195</v>
      </c>
    </row>
    <row r="175" spans="2:8" x14ac:dyDescent="0.25">
      <c r="B175" s="48"/>
      <c r="C175" s="48"/>
      <c r="D175" s="48"/>
      <c r="E175" s="48"/>
    </row>
    <row r="176" spans="2:8" x14ac:dyDescent="0.25">
      <c r="B176" s="48"/>
      <c r="C176" s="55" t="s">
        <v>238</v>
      </c>
      <c r="D176" s="48"/>
      <c r="E176" s="48"/>
    </row>
    <row r="177" spans="2:9" x14ac:dyDescent="0.25">
      <c r="B177" s="48"/>
    </row>
    <row r="178" spans="2:9" x14ac:dyDescent="0.25">
      <c r="B178" s="48"/>
    </row>
    <row r="179" spans="2:9" x14ac:dyDescent="0.25">
      <c r="B179" s="48"/>
      <c r="C179" s="55" t="s">
        <v>240</v>
      </c>
      <c r="D179" s="48"/>
      <c r="E179" s="48"/>
      <c r="H179" s="1">
        <f>10*253/366</f>
        <v>6.9125683060109289</v>
      </c>
      <c r="I179" s="1" t="s">
        <v>315</v>
      </c>
    </row>
    <row r="180" spans="2:9" x14ac:dyDescent="0.25">
      <c r="B180" s="48"/>
      <c r="C180" s="55" t="s">
        <v>318</v>
      </c>
      <c r="D180" s="48"/>
      <c r="E180" s="48"/>
    </row>
    <row r="181" spans="2:9" x14ac:dyDescent="0.25">
      <c r="B181" s="48"/>
      <c r="C181" s="55"/>
      <c r="D181" s="55" t="s">
        <v>178</v>
      </c>
      <c r="E181" s="48"/>
      <c r="F181" s="30">
        <f>F165</f>
        <v>253</v>
      </c>
    </row>
    <row r="182" spans="2:9" x14ac:dyDescent="0.25">
      <c r="B182" s="48"/>
      <c r="C182" s="55"/>
      <c r="D182" s="55" t="s">
        <v>96</v>
      </c>
      <c r="E182" s="48"/>
      <c r="F182" s="30">
        <f>-72</f>
        <v>-72</v>
      </c>
    </row>
    <row r="183" spans="2:9" x14ac:dyDescent="0.25">
      <c r="B183" s="48"/>
      <c r="C183" s="55"/>
      <c r="D183" s="55" t="s">
        <v>239</v>
      </c>
      <c r="E183" s="48"/>
      <c r="F183" s="30">
        <f>-8</f>
        <v>-8</v>
      </c>
    </row>
    <row r="184" spans="2:9" x14ac:dyDescent="0.25">
      <c r="B184" s="48"/>
      <c r="C184" s="55"/>
      <c r="D184" s="55" t="s">
        <v>241</v>
      </c>
      <c r="E184" s="48"/>
      <c r="F184" s="30">
        <f>-7</f>
        <v>-7</v>
      </c>
    </row>
    <row r="185" spans="2:9" x14ac:dyDescent="0.25">
      <c r="B185" s="48"/>
      <c r="C185" s="48"/>
      <c r="D185" s="55" t="s">
        <v>10</v>
      </c>
      <c r="E185" s="48"/>
      <c r="F185" s="30">
        <v>1</v>
      </c>
    </row>
    <row r="186" spans="2:9" x14ac:dyDescent="0.25">
      <c r="B186" s="48"/>
      <c r="D186" s="1" t="s">
        <v>242</v>
      </c>
      <c r="F186" s="30">
        <f>SUM(F181:F185)</f>
        <v>167</v>
      </c>
    </row>
    <row r="187" spans="2:9" x14ac:dyDescent="0.25">
      <c r="B187" s="48"/>
      <c r="C187" s="48"/>
      <c r="D187" s="48"/>
      <c r="E187" s="48"/>
    </row>
    <row r="188" spans="2:9" x14ac:dyDescent="0.25">
      <c r="B188" s="57" t="s">
        <v>186</v>
      </c>
      <c r="C188" s="48"/>
      <c r="D188" s="48"/>
      <c r="E188" s="48"/>
    </row>
    <row r="189" spans="2:9" x14ac:dyDescent="0.25">
      <c r="B189" s="48"/>
      <c r="C189" s="48"/>
      <c r="D189" s="48"/>
      <c r="E189" s="48"/>
    </row>
    <row r="190" spans="2:9" x14ac:dyDescent="0.25">
      <c r="B190" s="55" t="s">
        <v>174</v>
      </c>
      <c r="C190" s="48"/>
      <c r="D190" s="48"/>
      <c r="E190" s="48"/>
    </row>
    <row r="191" spans="2:9" x14ac:dyDescent="0.25">
      <c r="B191" s="55"/>
      <c r="C191" s="48"/>
      <c r="D191" s="48"/>
      <c r="E191" s="48"/>
    </row>
    <row r="192" spans="2:9" x14ac:dyDescent="0.25">
      <c r="B192" s="55" t="s">
        <v>172</v>
      </c>
      <c r="C192" s="48"/>
      <c r="D192" s="48"/>
      <c r="E192" s="48"/>
    </row>
    <row r="193" spans="2:7" x14ac:dyDescent="0.25">
      <c r="B193" s="55" t="s">
        <v>175</v>
      </c>
      <c r="C193" s="48"/>
      <c r="D193" s="48"/>
      <c r="E193" s="48"/>
    </row>
    <row r="194" spans="2:7" x14ac:dyDescent="0.25">
      <c r="B194" s="55" t="s">
        <v>173</v>
      </c>
      <c r="C194" s="48"/>
      <c r="D194" s="48"/>
      <c r="E194" s="48"/>
    </row>
    <row r="195" spans="2:7" x14ac:dyDescent="0.25">
      <c r="B195" s="55"/>
      <c r="C195" s="48"/>
      <c r="D195" s="48"/>
      <c r="E195" s="48"/>
    </row>
    <row r="196" spans="2:7" x14ac:dyDescent="0.25">
      <c r="B196" s="55" t="s">
        <v>247</v>
      </c>
    </row>
    <row r="197" spans="2:7" x14ac:dyDescent="0.25">
      <c r="B197" s="1" t="s">
        <v>248</v>
      </c>
      <c r="F197" s="1">
        <f>10*114/366</f>
        <v>3.1147540983606556</v>
      </c>
      <c r="G197" s="61" t="s">
        <v>344</v>
      </c>
    </row>
    <row r="199" spans="2:7" x14ac:dyDescent="0.25">
      <c r="B199" s="55" t="s">
        <v>187</v>
      </c>
      <c r="C199" s="55"/>
      <c r="E199" s="62">
        <v>45405</v>
      </c>
      <c r="F199" s="48" t="s">
        <v>243</v>
      </c>
    </row>
    <row r="200" spans="2:7" x14ac:dyDescent="0.25">
      <c r="B200" s="55" t="s">
        <v>179</v>
      </c>
      <c r="C200" s="55"/>
      <c r="E200" s="62">
        <v>45292</v>
      </c>
      <c r="F200" s="48" t="s">
        <v>244</v>
      </c>
    </row>
    <row r="201" spans="2:7" x14ac:dyDescent="0.25">
      <c r="B201" s="55" t="s">
        <v>177</v>
      </c>
      <c r="C201" s="55"/>
      <c r="E201" s="62">
        <v>45657</v>
      </c>
      <c r="F201" s="48" t="s">
        <v>245</v>
      </c>
    </row>
    <row r="202" spans="2:7" x14ac:dyDescent="0.25">
      <c r="B202" s="55" t="s">
        <v>178</v>
      </c>
      <c r="C202" s="55"/>
      <c r="E202" s="63">
        <f>E199-E200+1</f>
        <v>114</v>
      </c>
      <c r="F202" s="58" t="s">
        <v>246</v>
      </c>
    </row>
    <row r="203" spans="2:7" x14ac:dyDescent="0.25">
      <c r="B203" s="55" t="s">
        <v>181</v>
      </c>
      <c r="C203" s="55"/>
      <c r="E203" s="30">
        <v>82</v>
      </c>
      <c r="F203" s="58" t="s">
        <v>196</v>
      </c>
    </row>
    <row r="204" spans="2:7" x14ac:dyDescent="0.25">
      <c r="B204" s="55" t="s">
        <v>182</v>
      </c>
      <c r="C204" s="55"/>
      <c r="E204" s="63">
        <f>E202-E203</f>
        <v>32</v>
      </c>
      <c r="F204" s="55">
        <f>E202-E203</f>
        <v>32</v>
      </c>
    </row>
    <row r="205" spans="2:7" x14ac:dyDescent="0.25">
      <c r="B205" s="55" t="s">
        <v>249</v>
      </c>
      <c r="C205" s="48"/>
      <c r="E205" s="63">
        <v>4</v>
      </c>
      <c r="F205" s="48"/>
    </row>
    <row r="206" spans="2:7" x14ac:dyDescent="0.25">
      <c r="B206" s="55"/>
      <c r="C206" s="48"/>
      <c r="D206" s="48"/>
      <c r="E206" s="48"/>
    </row>
    <row r="207" spans="2:7" x14ac:dyDescent="0.25">
      <c r="B207" s="48"/>
      <c r="C207" s="48"/>
      <c r="D207" s="48"/>
      <c r="E207" s="48"/>
    </row>
    <row r="208" spans="2:7" x14ac:dyDescent="0.25">
      <c r="C208" s="48"/>
      <c r="D208" s="48"/>
      <c r="E208" s="48"/>
    </row>
    <row r="209" spans="2:8" ht="15.6" x14ac:dyDescent="0.3">
      <c r="F209" s="3"/>
      <c r="G209" s="3"/>
      <c r="H209" s="3"/>
    </row>
    <row r="210" spans="2:8" ht="15.6" x14ac:dyDescent="0.3">
      <c r="F210" s="49"/>
      <c r="G210" s="49"/>
    </row>
    <row r="211" spans="2:8" ht="15.6" x14ac:dyDescent="0.3">
      <c r="B211" s="2" t="s">
        <v>71</v>
      </c>
      <c r="C211" s="3" t="s">
        <v>72</v>
      </c>
      <c r="D211" s="3"/>
      <c r="F211" s="49"/>
      <c r="G211" s="49"/>
    </row>
    <row r="212" spans="2:8" ht="15.6" x14ac:dyDescent="0.3">
      <c r="B212" s="2"/>
      <c r="C212" s="3"/>
      <c r="D212" s="3"/>
      <c r="F212" s="49"/>
      <c r="G212" s="49"/>
    </row>
    <row r="213" spans="2:8" ht="15.6" x14ac:dyDescent="0.3">
      <c r="C213" s="2" t="s">
        <v>70</v>
      </c>
      <c r="F213" s="49"/>
      <c r="G213" s="49"/>
    </row>
    <row r="214" spans="2:8" ht="15.6" x14ac:dyDescent="0.3">
      <c r="F214" s="49"/>
      <c r="G214" s="49"/>
    </row>
    <row r="215" spans="2:8" ht="15.6" x14ac:dyDescent="0.3">
      <c r="B215" s="3"/>
      <c r="C215" s="3"/>
      <c r="D215" s="3" t="s">
        <v>250</v>
      </c>
      <c r="E215" s="3"/>
      <c r="F215" s="49"/>
    </row>
    <row r="216" spans="2:8" ht="15.6" x14ac:dyDescent="0.3">
      <c r="B216" s="3"/>
      <c r="C216" s="3"/>
      <c r="D216" s="49" t="s">
        <v>168</v>
      </c>
      <c r="E216" s="49"/>
      <c r="F216" s="3"/>
      <c r="G216" s="4">
        <v>184</v>
      </c>
    </row>
    <row r="217" spans="2:8" ht="15.6" x14ac:dyDescent="0.3">
      <c r="B217" s="3"/>
      <c r="C217" s="3"/>
      <c r="D217" s="49" t="s">
        <v>73</v>
      </c>
      <c r="E217" s="49"/>
      <c r="F217" s="3"/>
      <c r="G217" s="4">
        <v>52</v>
      </c>
      <c r="H217" s="3"/>
    </row>
    <row r="218" spans="2:8" ht="15.6" x14ac:dyDescent="0.3">
      <c r="B218" s="3"/>
      <c r="C218" s="3"/>
      <c r="D218" s="49" t="s">
        <v>74</v>
      </c>
      <c r="E218" s="49"/>
      <c r="F218" s="3"/>
      <c r="G218" s="4">
        <v>4</v>
      </c>
      <c r="H218" s="3"/>
    </row>
    <row r="219" spans="2:8" ht="15.6" x14ac:dyDescent="0.3">
      <c r="B219" s="3"/>
      <c r="C219" s="3"/>
      <c r="D219" s="49" t="s">
        <v>75</v>
      </c>
      <c r="E219" s="49"/>
      <c r="G219" s="4"/>
    </row>
    <row r="220" spans="2:8" ht="15.6" x14ac:dyDescent="0.3">
      <c r="B220" s="3"/>
      <c r="C220" s="3"/>
      <c r="D220" s="49" t="s">
        <v>76</v>
      </c>
      <c r="E220" s="49"/>
      <c r="G220" s="4">
        <f>+ROUND(10*184/366,0)</f>
        <v>5</v>
      </c>
    </row>
    <row r="221" spans="2:8" ht="15.6" x14ac:dyDescent="0.3">
      <c r="B221" s="3"/>
      <c r="C221" s="3"/>
      <c r="D221" s="49" t="s">
        <v>345</v>
      </c>
      <c r="E221" s="49"/>
      <c r="G221" s="4">
        <f>G216-G217-G218-G220</f>
        <v>123</v>
      </c>
      <c r="H221" s="3" t="s">
        <v>346</v>
      </c>
    </row>
    <row r="222" spans="2:8" ht="15.6" x14ac:dyDescent="0.3">
      <c r="B222" s="3"/>
      <c r="C222" s="3"/>
      <c r="D222" s="3"/>
      <c r="E222" s="3"/>
      <c r="F222" s="3"/>
    </row>
    <row r="223" spans="2:8" ht="15.6" x14ac:dyDescent="0.3">
      <c r="F223" s="3"/>
    </row>
    <row r="224" spans="2:8" ht="15.6" x14ac:dyDescent="0.3">
      <c r="C224" s="23" t="s">
        <v>77</v>
      </c>
      <c r="F224" s="3"/>
    </row>
    <row r="225" spans="2:7" ht="15.6" x14ac:dyDescent="0.3">
      <c r="F225" s="3"/>
    </row>
    <row r="226" spans="2:7" ht="15.6" x14ac:dyDescent="0.3">
      <c r="D226" s="3" t="s">
        <v>78</v>
      </c>
      <c r="E226" s="3"/>
      <c r="F226" s="3"/>
    </row>
    <row r="227" spans="2:7" ht="15.6" x14ac:dyDescent="0.3">
      <c r="D227" s="3" t="s">
        <v>79</v>
      </c>
      <c r="E227" s="3"/>
      <c r="F227" s="3"/>
    </row>
    <row r="228" spans="2:7" ht="15.6" x14ac:dyDescent="0.3">
      <c r="D228" s="3" t="s">
        <v>251</v>
      </c>
      <c r="E228" s="3"/>
    </row>
    <row r="229" spans="2:7" ht="15.6" x14ac:dyDescent="0.3">
      <c r="D229" s="3" t="s">
        <v>252</v>
      </c>
      <c r="E229" s="3"/>
    </row>
    <row r="230" spans="2:7" ht="15" customHeight="1" x14ac:dyDescent="0.3">
      <c r="D230" s="3" t="s">
        <v>165</v>
      </c>
      <c r="E230" s="3"/>
    </row>
    <row r="231" spans="2:7" ht="15" customHeight="1" x14ac:dyDescent="0.3">
      <c r="D231" s="3"/>
      <c r="E231" s="3"/>
    </row>
    <row r="232" spans="2:7" ht="20.25" customHeight="1" x14ac:dyDescent="0.3">
      <c r="C232" s="3" t="s">
        <v>80</v>
      </c>
      <c r="D232" s="3"/>
      <c r="E232" s="3"/>
      <c r="F232" s="3"/>
      <c r="G232" s="3"/>
    </row>
    <row r="233" spans="2:7" ht="15" customHeight="1" x14ac:dyDescent="0.3">
      <c r="C233" s="3"/>
      <c r="D233" s="3"/>
      <c r="E233" s="3"/>
      <c r="F233" s="3"/>
      <c r="G233" s="3"/>
    </row>
    <row r="234" spans="2:7" ht="15" customHeight="1" x14ac:dyDescent="0.3">
      <c r="B234" s="23" t="s">
        <v>59</v>
      </c>
      <c r="F234" s="3"/>
      <c r="G234" s="3"/>
    </row>
    <row r="235" spans="2:7" ht="15" customHeight="1" x14ac:dyDescent="0.3">
      <c r="B235" s="23"/>
      <c r="C235" s="23"/>
      <c r="F235" s="3"/>
      <c r="G235" s="3"/>
    </row>
    <row r="236" spans="2:7" ht="15" customHeight="1" x14ac:dyDescent="0.3">
      <c r="C236" s="23" t="s">
        <v>81</v>
      </c>
      <c r="F236" s="3"/>
      <c r="G236" s="3"/>
    </row>
    <row r="237" spans="2:7" ht="15.6" x14ac:dyDescent="0.3">
      <c r="C237" s="23"/>
      <c r="F237" s="3"/>
      <c r="G237" s="3"/>
    </row>
    <row r="238" spans="2:7" ht="15.6" x14ac:dyDescent="0.3">
      <c r="C238" s="3"/>
      <c r="D238" s="3" t="s">
        <v>253</v>
      </c>
      <c r="E238" s="3"/>
      <c r="F238" s="3"/>
      <c r="G238" s="3"/>
    </row>
    <row r="239" spans="2:7" ht="15.6" x14ac:dyDescent="0.3">
      <c r="C239" s="3"/>
      <c r="D239" s="3"/>
      <c r="E239" s="3"/>
      <c r="F239" s="3"/>
      <c r="G239" s="3"/>
    </row>
    <row r="240" spans="2:7" ht="15.6" x14ac:dyDescent="0.3">
      <c r="C240" s="3"/>
      <c r="D240" s="3" t="s">
        <v>82</v>
      </c>
      <c r="E240" s="3"/>
      <c r="F240" s="3"/>
      <c r="G240" s="3"/>
    </row>
    <row r="241" spans="3:7" ht="15.6" x14ac:dyDescent="0.3">
      <c r="C241" s="3"/>
      <c r="E241" s="3"/>
      <c r="F241" s="3"/>
      <c r="G241" s="3"/>
    </row>
    <row r="242" spans="3:7" ht="15.6" hidden="1" x14ac:dyDescent="0.3">
      <c r="C242" s="3"/>
      <c r="D242" s="3" t="s">
        <v>83</v>
      </c>
      <c r="E242" s="3"/>
      <c r="F242" s="3"/>
      <c r="G242" s="3"/>
    </row>
    <row r="243" spans="3:7" ht="15.6" hidden="1" x14ac:dyDescent="0.3">
      <c r="C243" s="3"/>
      <c r="D243" s="3"/>
      <c r="E243" s="3"/>
      <c r="F243" s="3"/>
      <c r="G243" s="3"/>
    </row>
    <row r="244" spans="3:7" ht="15.6" x14ac:dyDescent="0.3">
      <c r="C244" s="3"/>
      <c r="D244" s="75" t="s">
        <v>84</v>
      </c>
      <c r="E244" s="75"/>
      <c r="F244" s="3"/>
      <c r="G244" s="3"/>
    </row>
    <row r="245" spans="3:7" ht="31.2" x14ac:dyDescent="0.3">
      <c r="C245" s="3"/>
      <c r="D245" s="26" t="s">
        <v>85</v>
      </c>
      <c r="E245" s="27">
        <v>45414</v>
      </c>
      <c r="F245" s="3"/>
      <c r="G245" s="3"/>
    </row>
    <row r="246" spans="3:7" ht="30.75" customHeight="1" x14ac:dyDescent="0.3">
      <c r="C246" s="3"/>
      <c r="D246" s="26" t="s">
        <v>86</v>
      </c>
      <c r="E246" s="27">
        <v>45657</v>
      </c>
      <c r="F246" s="3"/>
      <c r="G246" s="3"/>
    </row>
    <row r="247" spans="3:7" ht="31.2" x14ac:dyDescent="0.3">
      <c r="C247" s="3"/>
      <c r="D247" s="26" t="s">
        <v>87</v>
      </c>
      <c r="E247" s="28">
        <f>E246-E245+1</f>
        <v>244</v>
      </c>
      <c r="F247" s="3" t="s">
        <v>254</v>
      </c>
      <c r="G247" s="3"/>
    </row>
    <row r="248" spans="3:7" ht="31.2" x14ac:dyDescent="0.3">
      <c r="C248" s="3"/>
      <c r="D248" s="26" t="s">
        <v>169</v>
      </c>
      <c r="E248" s="28">
        <v>174</v>
      </c>
      <c r="F248" s="3" t="s">
        <v>254</v>
      </c>
      <c r="G248" s="3"/>
    </row>
    <row r="249" spans="3:7" ht="24.75" customHeight="1" x14ac:dyDescent="0.3">
      <c r="C249" s="3"/>
      <c r="D249" s="26" t="s">
        <v>88</v>
      </c>
      <c r="E249" s="28">
        <v>35</v>
      </c>
      <c r="F249" s="3" t="s">
        <v>254</v>
      </c>
      <c r="G249" s="3"/>
    </row>
    <row r="250" spans="3:7" ht="30" customHeight="1" x14ac:dyDescent="0.3">
      <c r="C250" s="3"/>
      <c r="D250" s="26" t="s">
        <v>255</v>
      </c>
      <c r="E250" s="28">
        <f>E247-E248-E249</f>
        <v>35</v>
      </c>
      <c r="G250" s="3"/>
    </row>
    <row r="251" spans="3:7" ht="31.2" x14ac:dyDescent="0.3">
      <c r="C251" s="3"/>
      <c r="D251" s="26" t="s">
        <v>89</v>
      </c>
      <c r="E251" s="28">
        <f>E248+E249</f>
        <v>209</v>
      </c>
      <c r="F251" s="3"/>
      <c r="G251" s="3"/>
    </row>
    <row r="252" spans="3:7" ht="27.75" customHeight="1" x14ac:dyDescent="0.3">
      <c r="C252" s="3"/>
      <c r="D252" s="26" t="s">
        <v>260</v>
      </c>
      <c r="E252" s="28">
        <v>3</v>
      </c>
      <c r="F252" s="3" t="s">
        <v>342</v>
      </c>
      <c r="G252" s="3"/>
    </row>
    <row r="253" spans="3:7" ht="31.2" x14ac:dyDescent="0.3">
      <c r="C253" s="3"/>
      <c r="D253" s="26" t="s">
        <v>256</v>
      </c>
      <c r="E253" s="28">
        <f>7</f>
        <v>7</v>
      </c>
      <c r="G253" s="3"/>
    </row>
    <row r="254" spans="3:7" ht="27.75" customHeight="1" x14ac:dyDescent="0.3">
      <c r="C254" s="3"/>
      <c r="D254" s="26" t="s">
        <v>10</v>
      </c>
      <c r="E254" s="28">
        <v>1</v>
      </c>
      <c r="G254" s="3"/>
    </row>
    <row r="255" spans="3:7" ht="15.6" x14ac:dyDescent="0.3">
      <c r="C255" s="3"/>
      <c r="D255" s="3"/>
      <c r="E255" s="4">
        <f>E248-E252-E253+E254</f>
        <v>165</v>
      </c>
      <c r="G255" s="3"/>
    </row>
    <row r="256" spans="3:7" ht="15.6" x14ac:dyDescent="0.3">
      <c r="C256" s="3" t="s">
        <v>343</v>
      </c>
      <c r="D256" s="3"/>
      <c r="E256" s="24"/>
      <c r="F256" s="3"/>
      <c r="G256" s="3"/>
    </row>
    <row r="257" spans="2:7" ht="15.6" x14ac:dyDescent="0.3">
      <c r="B257" s="3" t="s">
        <v>267</v>
      </c>
      <c r="D257" s="3"/>
      <c r="E257" s="24"/>
      <c r="F257" s="3"/>
      <c r="G257" s="3"/>
    </row>
    <row r="258" spans="2:7" ht="15.6" x14ac:dyDescent="0.3">
      <c r="C258" s="3"/>
      <c r="D258" s="3"/>
      <c r="E258" s="3"/>
      <c r="F258" s="3"/>
      <c r="G258" s="3"/>
    </row>
    <row r="259" spans="2:7" ht="15.6" x14ac:dyDescent="0.3">
      <c r="C259" s="65" t="s">
        <v>273</v>
      </c>
      <c r="D259" s="48"/>
      <c r="E259" s="66"/>
      <c r="F259" s="66"/>
      <c r="G259" s="3"/>
    </row>
    <row r="260" spans="2:7" ht="15.6" x14ac:dyDescent="0.3">
      <c r="C260" s="66" t="s">
        <v>270</v>
      </c>
      <c r="D260" s="48"/>
      <c r="E260" s="66"/>
      <c r="F260" s="66"/>
      <c r="G260" s="3"/>
    </row>
    <row r="261" spans="2:7" ht="15.6" x14ac:dyDescent="0.3">
      <c r="C261" s="66"/>
      <c r="D261" s="66"/>
      <c r="E261" s="66"/>
      <c r="F261" s="66"/>
      <c r="G261" s="3"/>
    </row>
    <row r="262" spans="2:7" ht="15.6" x14ac:dyDescent="0.3">
      <c r="C262" s="66"/>
      <c r="D262" s="66"/>
      <c r="E262" s="67">
        <v>218</v>
      </c>
      <c r="F262" s="66"/>
      <c r="G262" s="3"/>
    </row>
    <row r="263" spans="2:7" ht="15.6" x14ac:dyDescent="0.3">
      <c r="C263" s="66"/>
      <c r="D263" s="66"/>
      <c r="E263" s="67">
        <v>25</v>
      </c>
      <c r="F263" s="66"/>
      <c r="G263" s="3"/>
    </row>
    <row r="264" spans="2:7" ht="15.6" x14ac:dyDescent="0.3">
      <c r="C264" s="66"/>
      <c r="D264" s="66"/>
      <c r="E264" s="67">
        <v>10</v>
      </c>
      <c r="F264" s="66" t="s">
        <v>271</v>
      </c>
      <c r="G264" s="3"/>
    </row>
    <row r="265" spans="2:7" ht="15.6" x14ac:dyDescent="0.3">
      <c r="C265" s="66"/>
      <c r="D265" s="66"/>
      <c r="E265" s="67">
        <f>SUM(E262:E264)</f>
        <v>253</v>
      </c>
      <c r="F265" s="66" t="s">
        <v>263</v>
      </c>
      <c r="G265" s="3"/>
    </row>
    <row r="266" spans="2:7" ht="15.6" x14ac:dyDescent="0.3">
      <c r="C266" s="3"/>
      <c r="D266" s="3"/>
      <c r="G266" s="3"/>
    </row>
    <row r="267" spans="2:7" ht="15.6" x14ac:dyDescent="0.3">
      <c r="C267" s="3"/>
      <c r="D267" s="3"/>
      <c r="E267" s="3"/>
      <c r="F267" s="3"/>
      <c r="G267" s="3"/>
    </row>
    <row r="268" spans="2:7" ht="15.6" x14ac:dyDescent="0.3">
      <c r="C268" s="3"/>
      <c r="D268" s="2" t="s">
        <v>91</v>
      </c>
      <c r="E268" s="3"/>
      <c r="F268" s="3"/>
      <c r="G268" s="3"/>
    </row>
    <row r="269" spans="2:7" ht="15.6" x14ac:dyDescent="0.3">
      <c r="C269" s="3"/>
      <c r="D269" s="3"/>
      <c r="E269" s="3"/>
    </row>
    <row r="270" spans="2:7" ht="15.6" x14ac:dyDescent="0.3">
      <c r="C270" s="3"/>
      <c r="D270" s="3"/>
      <c r="E270" s="3" t="s">
        <v>257</v>
      </c>
    </row>
    <row r="271" spans="2:7" ht="15.6" x14ac:dyDescent="0.3">
      <c r="C271" s="3"/>
      <c r="D271" s="3"/>
      <c r="E271" s="3" t="s">
        <v>92</v>
      </c>
    </row>
    <row r="272" spans="2:7" ht="15.6" x14ac:dyDescent="0.3">
      <c r="C272" s="3"/>
      <c r="D272" s="3"/>
      <c r="E272" s="3" t="s">
        <v>93</v>
      </c>
    </row>
    <row r="273" spans="3:17" ht="15.6" x14ac:dyDescent="0.3">
      <c r="C273" s="3"/>
      <c r="D273" s="3"/>
      <c r="E273" s="3" t="s">
        <v>266</v>
      </c>
    </row>
    <row r="274" spans="3:17" ht="15.6" x14ac:dyDescent="0.3">
      <c r="C274" s="3"/>
      <c r="D274" s="3"/>
      <c r="E274" s="3" t="s">
        <v>268</v>
      </c>
    </row>
    <row r="275" spans="3:17" ht="15.6" x14ac:dyDescent="0.3">
      <c r="C275" s="3"/>
      <c r="D275" s="3"/>
      <c r="E275" s="3"/>
    </row>
    <row r="276" spans="3:17" ht="15.6" x14ac:dyDescent="0.3">
      <c r="C276" s="3"/>
      <c r="D276" s="3"/>
      <c r="E276" s="3"/>
    </row>
    <row r="277" spans="3:17" ht="15.6" x14ac:dyDescent="0.3">
      <c r="C277" s="3"/>
      <c r="D277" s="3"/>
      <c r="E277" s="3"/>
    </row>
    <row r="278" spans="3:17" x14ac:dyDescent="0.25">
      <c r="D278" s="23" t="s">
        <v>258</v>
      </c>
    </row>
    <row r="280" spans="3:17" ht="15.6" x14ac:dyDescent="0.3">
      <c r="E280" s="3" t="s">
        <v>259</v>
      </c>
      <c r="F280" s="29"/>
    </row>
    <row r="281" spans="3:17" ht="15.6" x14ac:dyDescent="0.3">
      <c r="E281" s="3" t="s">
        <v>261</v>
      </c>
      <c r="F281" s="29"/>
    </row>
    <row r="282" spans="3:17" ht="15.6" x14ac:dyDescent="0.3">
      <c r="E282" s="3" t="s">
        <v>94</v>
      </c>
      <c r="F282" s="23"/>
    </row>
    <row r="283" spans="3:17" ht="15.6" x14ac:dyDescent="0.3">
      <c r="E283" s="3" t="s">
        <v>262</v>
      </c>
      <c r="F283" s="23"/>
    </row>
    <row r="284" spans="3:17" x14ac:dyDescent="0.25">
      <c r="E284" s="1" t="s">
        <v>264</v>
      </c>
    </row>
    <row r="285" spans="3:17" x14ac:dyDescent="0.25">
      <c r="E285" s="1" t="s">
        <v>265</v>
      </c>
    </row>
    <row r="286" spans="3:17" ht="15.6" x14ac:dyDescent="0.3">
      <c r="E286" s="3"/>
    </row>
    <row r="287" spans="3:17" ht="14.4" x14ac:dyDescent="0.25">
      <c r="N287" s="31" t="s">
        <v>104</v>
      </c>
      <c r="Q287" s="1">
        <v>1</v>
      </c>
    </row>
    <row r="288" spans="3:17" s="98" customFormat="1" hidden="1" x14ac:dyDescent="0.25">
      <c r="Q288" s="98" t="e">
        <f ca="1">SOMME(Q287:Q287)</f>
        <v>#NAME?</v>
      </c>
    </row>
    <row r="289" spans="2:7" s="98" customFormat="1" hidden="1" x14ac:dyDescent="0.25">
      <c r="B289" s="99" t="s">
        <v>100</v>
      </c>
      <c r="C289" s="98" t="s">
        <v>101</v>
      </c>
    </row>
    <row r="290" spans="2:7" s="98" customFormat="1" ht="15.6" hidden="1" x14ac:dyDescent="0.3">
      <c r="F290" s="100"/>
      <c r="G290" s="100"/>
    </row>
    <row r="291" spans="2:7" s="98" customFormat="1" ht="15.6" hidden="1" x14ac:dyDescent="0.3">
      <c r="D291" s="98" t="s">
        <v>102</v>
      </c>
      <c r="F291" s="100"/>
      <c r="G291" s="100"/>
    </row>
    <row r="292" spans="2:7" s="98" customFormat="1" ht="15.6" hidden="1" x14ac:dyDescent="0.3">
      <c r="D292" s="98" t="s">
        <v>103</v>
      </c>
      <c r="F292" s="100"/>
      <c r="G292" s="100"/>
    </row>
    <row r="293" spans="2:7" s="98" customFormat="1" ht="15.6" hidden="1" x14ac:dyDescent="0.3">
      <c r="F293" s="100"/>
      <c r="G293" s="100"/>
    </row>
    <row r="294" spans="2:7" s="98" customFormat="1" ht="15.6" hidden="1" x14ac:dyDescent="0.3">
      <c r="D294" s="98" t="s">
        <v>105</v>
      </c>
      <c r="F294" s="100"/>
      <c r="G294" s="100"/>
    </row>
    <row r="295" spans="2:7" s="98" customFormat="1" ht="15.6" hidden="1" x14ac:dyDescent="0.3">
      <c r="F295" s="100"/>
      <c r="G295" s="100"/>
    </row>
    <row r="296" spans="2:7" s="98" customFormat="1" ht="15.6" hidden="1" x14ac:dyDescent="0.3">
      <c r="C296" s="100"/>
      <c r="D296" s="101" t="s">
        <v>106</v>
      </c>
      <c r="E296" s="100"/>
      <c r="F296" s="100"/>
      <c r="G296" s="100"/>
    </row>
    <row r="297" spans="2:7" s="98" customFormat="1" ht="15.6" hidden="1" x14ac:dyDescent="0.3">
      <c r="C297" s="100"/>
      <c r="D297" s="101"/>
      <c r="E297" s="100"/>
      <c r="F297" s="100"/>
      <c r="G297" s="100"/>
    </row>
    <row r="298" spans="2:7" s="98" customFormat="1" ht="15.6" hidden="1" x14ac:dyDescent="0.3">
      <c r="B298" s="98" t="s">
        <v>162</v>
      </c>
      <c r="C298" s="100"/>
      <c r="D298" s="101"/>
      <c r="E298" s="100"/>
      <c r="F298" s="100"/>
      <c r="G298" s="100"/>
    </row>
    <row r="299" spans="2:7" s="98" customFormat="1" ht="15.6" hidden="1" x14ac:dyDescent="0.3">
      <c r="C299" s="100"/>
      <c r="D299" s="101"/>
      <c r="E299" s="100"/>
      <c r="F299" s="100"/>
      <c r="G299" s="100"/>
    </row>
    <row r="300" spans="2:7" s="98" customFormat="1" ht="15.6" hidden="1" x14ac:dyDescent="0.3">
      <c r="B300" s="98" t="s">
        <v>161</v>
      </c>
      <c r="C300" s="100"/>
      <c r="D300" s="101"/>
      <c r="E300" s="100"/>
      <c r="F300" s="100"/>
      <c r="G300" s="100"/>
    </row>
    <row r="301" spans="2:7" s="98" customFormat="1" ht="15.6" hidden="1" x14ac:dyDescent="0.3">
      <c r="C301" s="100"/>
      <c r="D301" s="101"/>
      <c r="E301" s="100"/>
      <c r="F301" s="100"/>
      <c r="G301" s="100"/>
    </row>
    <row r="302" spans="2:7" s="98" customFormat="1" ht="15.6" hidden="1" x14ac:dyDescent="0.3">
      <c r="B302" s="98" t="s">
        <v>163</v>
      </c>
      <c r="C302" s="100"/>
      <c r="D302" s="101"/>
      <c r="E302" s="100"/>
      <c r="F302" s="100"/>
      <c r="G302" s="100"/>
    </row>
    <row r="303" spans="2:7" s="98" customFormat="1" ht="15.6" hidden="1" x14ac:dyDescent="0.3">
      <c r="C303" s="100"/>
      <c r="D303" s="101"/>
      <c r="E303" s="100"/>
      <c r="F303" s="100"/>
      <c r="G303" s="100"/>
    </row>
    <row r="304" spans="2:7" s="98" customFormat="1" ht="15.6" hidden="1" x14ac:dyDescent="0.3">
      <c r="B304" s="98" t="s">
        <v>164</v>
      </c>
      <c r="C304" s="100"/>
      <c r="D304" s="101"/>
      <c r="E304" s="100"/>
      <c r="F304" s="100"/>
      <c r="G304" s="100"/>
    </row>
    <row r="305" spans="3:7" s="98" customFormat="1" ht="15.6" hidden="1" x14ac:dyDescent="0.3">
      <c r="C305" s="100"/>
      <c r="D305" s="101"/>
      <c r="E305" s="100"/>
      <c r="F305" s="100"/>
      <c r="G305" s="100"/>
    </row>
    <row r="306" spans="3:7" s="98" customFormat="1" ht="15.6" hidden="1" x14ac:dyDescent="0.3">
      <c r="C306" s="100"/>
      <c r="D306" s="101"/>
      <c r="E306" s="100"/>
      <c r="F306" s="100"/>
      <c r="G306" s="100"/>
    </row>
    <row r="307" spans="3:7" s="98" customFormat="1" ht="15.6" hidden="1" x14ac:dyDescent="0.3">
      <c r="C307" s="100"/>
      <c r="D307" s="101"/>
      <c r="E307" s="100"/>
      <c r="F307" s="100"/>
      <c r="G307" s="100"/>
    </row>
    <row r="308" spans="3:7" s="98" customFormat="1" ht="15.6" hidden="1" x14ac:dyDescent="0.3">
      <c r="C308" s="100"/>
      <c r="D308" s="101"/>
      <c r="E308" s="100"/>
      <c r="F308" s="100"/>
      <c r="G308" s="100"/>
    </row>
    <row r="309" spans="3:7" s="98" customFormat="1" ht="15.6" hidden="1" x14ac:dyDescent="0.3">
      <c r="C309" s="100"/>
      <c r="D309" s="101"/>
      <c r="E309" s="100"/>
      <c r="F309" s="100"/>
      <c r="G309" s="100"/>
    </row>
    <row r="310" spans="3:7" s="98" customFormat="1" ht="15.6" hidden="1" x14ac:dyDescent="0.3">
      <c r="C310" s="100"/>
      <c r="D310" s="101"/>
      <c r="E310" s="100"/>
      <c r="F310" s="100"/>
      <c r="G310" s="100"/>
    </row>
    <row r="311" spans="3:7" s="98" customFormat="1" ht="15.6" hidden="1" x14ac:dyDescent="0.3">
      <c r="C311" s="100"/>
      <c r="D311" s="101"/>
      <c r="E311" s="100"/>
      <c r="F311" s="100"/>
      <c r="G311" s="100"/>
    </row>
    <row r="312" spans="3:7" s="98" customFormat="1" ht="15.6" hidden="1" x14ac:dyDescent="0.3">
      <c r="C312" s="100"/>
      <c r="D312" s="101"/>
      <c r="E312" s="100"/>
      <c r="F312" s="100"/>
      <c r="G312" s="100"/>
    </row>
    <row r="313" spans="3:7" s="98" customFormat="1" ht="15.6" hidden="1" x14ac:dyDescent="0.3">
      <c r="C313" s="100"/>
      <c r="D313" s="101"/>
      <c r="E313" s="100"/>
      <c r="F313" s="100"/>
      <c r="G313" s="100"/>
    </row>
    <row r="314" spans="3:7" s="98" customFormat="1" ht="15.6" hidden="1" x14ac:dyDescent="0.3">
      <c r="C314" s="100"/>
      <c r="D314" s="101"/>
      <c r="E314" s="100"/>
      <c r="F314" s="100"/>
      <c r="G314" s="100"/>
    </row>
    <row r="315" spans="3:7" s="98" customFormat="1" ht="15.6" hidden="1" x14ac:dyDescent="0.3">
      <c r="C315" s="100"/>
      <c r="D315" s="101"/>
      <c r="E315" s="100"/>
      <c r="F315" s="100"/>
      <c r="G315" s="100"/>
    </row>
    <row r="316" spans="3:7" s="98" customFormat="1" ht="15.6" hidden="1" x14ac:dyDescent="0.3">
      <c r="C316" s="100"/>
      <c r="D316" s="100"/>
      <c r="E316" s="100"/>
      <c r="F316" s="100"/>
      <c r="G316" s="100"/>
    </row>
    <row r="317" spans="3:7" s="98" customFormat="1" ht="15.6" hidden="1" x14ac:dyDescent="0.3">
      <c r="C317" s="100"/>
      <c r="D317" s="100" t="s">
        <v>107</v>
      </c>
      <c r="F317" s="100"/>
      <c r="G317" s="100"/>
    </row>
    <row r="318" spans="3:7" s="98" customFormat="1" ht="15.6" hidden="1" x14ac:dyDescent="0.3">
      <c r="C318" s="100"/>
      <c r="D318" s="100"/>
      <c r="E318" s="98" t="s">
        <v>108</v>
      </c>
    </row>
    <row r="319" spans="3:7" s="98" customFormat="1" ht="15.6" hidden="1" x14ac:dyDescent="0.3">
      <c r="C319" s="100"/>
      <c r="D319" s="100"/>
      <c r="E319" s="98" t="s">
        <v>109</v>
      </c>
    </row>
    <row r="320" spans="3:7" s="98" customFormat="1" ht="15.6" hidden="1" x14ac:dyDescent="0.3">
      <c r="C320" s="100"/>
      <c r="D320" s="100"/>
      <c r="E320" s="98" t="s">
        <v>110</v>
      </c>
    </row>
    <row r="321" spans="3:8" s="98" customFormat="1" ht="15.6" hidden="1" x14ac:dyDescent="0.3">
      <c r="C321" s="100"/>
      <c r="D321" s="100"/>
    </row>
    <row r="322" spans="3:8" s="98" customFormat="1" ht="15.6" hidden="1" x14ac:dyDescent="0.3">
      <c r="C322" s="100"/>
      <c r="D322" s="100" t="s">
        <v>111</v>
      </c>
      <c r="F322" s="29">
        <v>39.471666666666664</v>
      </c>
      <c r="G322" s="98" t="s">
        <v>95</v>
      </c>
    </row>
    <row r="323" spans="3:8" s="98" customFormat="1" ht="15.6" hidden="1" x14ac:dyDescent="0.3">
      <c r="C323" s="100"/>
      <c r="D323" s="100"/>
      <c r="F323" s="29"/>
      <c r="H323" s="102"/>
    </row>
    <row r="324" spans="3:8" s="98" customFormat="1" ht="14.4" hidden="1" x14ac:dyDescent="0.3">
      <c r="D324" s="99" t="s">
        <v>112</v>
      </c>
      <c r="F324" s="29"/>
      <c r="G324" s="98">
        <v>39.5</v>
      </c>
    </row>
    <row r="325" spans="3:8" s="98" customFormat="1" ht="14.4" hidden="1" x14ac:dyDescent="0.3">
      <c r="F325" s="29"/>
    </row>
    <row r="326" spans="3:8" s="98" customFormat="1" ht="15.6" hidden="1" x14ac:dyDescent="0.3">
      <c r="E326" s="100" t="s">
        <v>113</v>
      </c>
      <c r="F326" s="29"/>
    </row>
    <row r="327" spans="3:8" s="98" customFormat="1" hidden="1" x14ac:dyDescent="0.25">
      <c r="F327" s="99"/>
    </row>
    <row r="328" spans="3:8" s="98" customFormat="1" hidden="1" x14ac:dyDescent="0.25">
      <c r="E328" s="98" t="s">
        <v>114</v>
      </c>
    </row>
    <row r="329" spans="3:8" s="98" customFormat="1" hidden="1" x14ac:dyDescent="0.25"/>
    <row r="330" spans="3:8" s="98" customFormat="1" hidden="1" x14ac:dyDescent="0.25">
      <c r="E330" s="98" t="s">
        <v>115</v>
      </c>
      <c r="G330" s="103"/>
    </row>
    <row r="331" spans="3:8" s="98" customFormat="1" hidden="1" x14ac:dyDescent="0.25">
      <c r="G331" s="103"/>
    </row>
    <row r="332" spans="3:8" s="98" customFormat="1" hidden="1" x14ac:dyDescent="0.25">
      <c r="D332" s="98" t="s">
        <v>116</v>
      </c>
      <c r="E332" s="98" t="s">
        <v>117</v>
      </c>
      <c r="G332" s="103"/>
    </row>
    <row r="333" spans="3:8" s="98" customFormat="1" hidden="1" x14ac:dyDescent="0.25">
      <c r="G333" s="103"/>
    </row>
    <row r="334" spans="3:8" s="98" customFormat="1" hidden="1" x14ac:dyDescent="0.25">
      <c r="D334" s="99" t="s">
        <v>118</v>
      </c>
      <c r="G334" s="104"/>
    </row>
    <row r="335" spans="3:8" s="98" customFormat="1" hidden="1" x14ac:dyDescent="0.25"/>
    <row r="336" spans="3:8" s="98" customFormat="1" hidden="1" x14ac:dyDescent="0.25"/>
    <row r="337" spans="1:15" s="98" customFormat="1" ht="14.4" hidden="1" x14ac:dyDescent="0.25">
      <c r="N337" s="105"/>
    </row>
    <row r="338" spans="1:15" s="98" customFormat="1" ht="14.4" hidden="1" x14ac:dyDescent="0.25">
      <c r="N338" s="105"/>
    </row>
    <row r="339" spans="1:15" s="106" customFormat="1" ht="14.4" hidden="1" x14ac:dyDescent="0.3">
      <c r="B339" s="98"/>
      <c r="C339" s="98"/>
      <c r="D339" s="98"/>
      <c r="E339" s="98"/>
    </row>
    <row r="340" spans="1:15" s="107" customFormat="1" ht="14.4" hidden="1" x14ac:dyDescent="0.3">
      <c r="A340" s="103" t="s">
        <v>87</v>
      </c>
      <c r="B340" s="98"/>
      <c r="C340" s="98"/>
      <c r="D340" s="98"/>
      <c r="E340" s="98"/>
      <c r="F340" s="98"/>
      <c r="G340" s="98"/>
      <c r="H340" s="98"/>
      <c r="I340" s="98"/>
      <c r="J340" s="98"/>
      <c r="K340" s="98"/>
      <c r="L340" s="98"/>
      <c r="M340" s="98"/>
      <c r="N340" s="98"/>
      <c r="O340" s="98"/>
    </row>
    <row r="341" spans="1:15" s="107" customFormat="1" ht="14.4" hidden="1" x14ac:dyDescent="0.3">
      <c r="A341" s="103" t="s">
        <v>96</v>
      </c>
      <c r="B341" s="98"/>
      <c r="C341" s="98"/>
      <c r="D341" s="98"/>
      <c r="E341" s="103"/>
      <c r="F341" s="98"/>
      <c r="G341" s="98"/>
      <c r="H341" s="98"/>
      <c r="I341" s="98"/>
      <c r="J341" s="98"/>
      <c r="K341" s="98"/>
      <c r="L341" s="98"/>
      <c r="M341" s="98"/>
      <c r="N341" s="98"/>
      <c r="O341" s="98"/>
    </row>
    <row r="342" spans="1:15" s="107" customFormat="1" ht="14.4" hidden="1" x14ac:dyDescent="0.3">
      <c r="A342" s="103" t="s">
        <v>97</v>
      </c>
      <c r="B342" s="98"/>
      <c r="C342" s="98"/>
      <c r="D342" s="98"/>
      <c r="E342" s="108"/>
      <c r="F342" s="98"/>
      <c r="G342" s="98"/>
      <c r="H342" s="98"/>
      <c r="I342" s="98"/>
      <c r="J342" s="98"/>
      <c r="K342" s="98"/>
      <c r="L342" s="98"/>
      <c r="M342" s="98"/>
      <c r="N342" s="98"/>
      <c r="O342" s="98"/>
    </row>
    <row r="343" spans="1:15" s="107" customFormat="1" ht="14.4" hidden="1" x14ac:dyDescent="0.3">
      <c r="A343" s="103" t="s">
        <v>98</v>
      </c>
      <c r="B343" s="98"/>
      <c r="C343" s="98"/>
      <c r="D343" s="98"/>
      <c r="E343" s="109"/>
      <c r="F343" s="98"/>
      <c r="G343" s="98"/>
      <c r="H343" s="98"/>
      <c r="I343" s="98"/>
      <c r="J343" s="98"/>
      <c r="K343" s="98"/>
      <c r="L343" s="98"/>
      <c r="M343" s="98"/>
      <c r="N343" s="98"/>
      <c r="O343" s="98"/>
    </row>
    <row r="344" spans="1:15" s="107" customFormat="1" ht="14.4" hidden="1" x14ac:dyDescent="0.3">
      <c r="A344" s="103" t="s">
        <v>131</v>
      </c>
      <c r="B344" s="98"/>
      <c r="C344" s="98"/>
      <c r="D344" s="98"/>
      <c r="E344" s="98"/>
      <c r="F344" s="98"/>
      <c r="G344" s="98"/>
      <c r="H344" s="98"/>
      <c r="I344" s="98"/>
      <c r="J344" s="98"/>
      <c r="K344" s="98"/>
      <c r="L344" s="98"/>
      <c r="M344" s="98"/>
      <c r="N344" s="98"/>
      <c r="O344" s="98"/>
    </row>
    <row r="345" spans="1:15" s="107" customFormat="1" ht="14.4" hidden="1" x14ac:dyDescent="0.3">
      <c r="A345" s="110" t="s">
        <v>132</v>
      </c>
      <c r="B345" s="106" t="s">
        <v>119</v>
      </c>
      <c r="C345" s="106" t="s">
        <v>120</v>
      </c>
      <c r="D345" s="98"/>
      <c r="E345" s="98"/>
      <c r="F345" s="98"/>
      <c r="G345" s="98"/>
      <c r="H345" s="98"/>
      <c r="I345" s="98"/>
      <c r="J345" s="98"/>
      <c r="K345" s="98"/>
      <c r="L345" s="98"/>
      <c r="M345" s="98"/>
      <c r="N345" s="98"/>
      <c r="O345" s="98"/>
    </row>
    <row r="346" spans="1:15" s="107" customFormat="1" ht="14.4" hidden="1" x14ac:dyDescent="0.3">
      <c r="A346" s="103" t="s">
        <v>133</v>
      </c>
      <c r="B346" s="110">
        <v>31</v>
      </c>
      <c r="C346" s="110">
        <f>[1]Feuil5!E24</f>
        <v>61</v>
      </c>
      <c r="D346" s="98"/>
      <c r="E346" s="98"/>
      <c r="F346" s="98"/>
      <c r="G346" s="98"/>
      <c r="H346" s="98"/>
      <c r="I346" s="98"/>
      <c r="J346" s="98"/>
      <c r="K346" s="98"/>
      <c r="L346" s="98"/>
      <c r="M346" s="98"/>
      <c r="N346" s="98"/>
      <c r="O346" s="98"/>
    </row>
    <row r="347" spans="1:15" s="107" customFormat="1" ht="14.4" hidden="1" x14ac:dyDescent="0.3">
      <c r="A347" s="103" t="s">
        <v>134</v>
      </c>
      <c r="B347" s="110">
        <v>8</v>
      </c>
      <c r="C347" s="110">
        <f>[1]Feuil5!E25</f>
        <v>16</v>
      </c>
      <c r="D347" s="98"/>
      <c r="E347" s="98"/>
      <c r="F347" s="98"/>
      <c r="G347" s="98"/>
      <c r="H347" s="98"/>
      <c r="I347" s="98"/>
      <c r="J347" s="98"/>
      <c r="K347" s="98"/>
      <c r="L347" s="98"/>
      <c r="M347" s="98"/>
      <c r="N347" s="98"/>
      <c r="O347" s="98"/>
    </row>
    <row r="348" spans="1:15" s="107" customFormat="1" ht="14.4" hidden="1" x14ac:dyDescent="0.3">
      <c r="A348" s="103" t="s">
        <v>135</v>
      </c>
      <c r="B348" s="110">
        <v>2.08</v>
      </c>
      <c r="C348" s="110">
        <f>[1]Feuil5!E26</f>
        <v>4.17</v>
      </c>
      <c r="D348" s="98"/>
      <c r="E348" s="98"/>
      <c r="F348" s="98"/>
      <c r="G348" s="98"/>
      <c r="H348" s="98"/>
      <c r="I348" s="98"/>
      <c r="J348" s="98"/>
      <c r="K348" s="98"/>
      <c r="L348" s="98"/>
      <c r="M348" s="98"/>
      <c r="N348" s="98"/>
      <c r="O348" s="98"/>
    </row>
    <row r="349" spans="1:15" s="107" customFormat="1" ht="14.4" hidden="1" x14ac:dyDescent="0.3">
      <c r="A349" s="103" t="s">
        <v>9</v>
      </c>
      <c r="B349" s="110">
        <v>1</v>
      </c>
      <c r="C349" s="110">
        <f>[1]Feuil5!E27</f>
        <v>2</v>
      </c>
      <c r="D349" s="98"/>
      <c r="E349" s="98"/>
      <c r="F349" s="98"/>
      <c r="G349" s="98"/>
      <c r="H349" s="98"/>
      <c r="I349" s="98"/>
      <c r="J349" s="98"/>
      <c r="K349" s="98"/>
      <c r="L349" s="98"/>
      <c r="M349" s="98"/>
      <c r="N349" s="98"/>
      <c r="O349" s="98"/>
    </row>
    <row r="350" spans="1:15" s="98" customFormat="1" ht="14.4" hidden="1" x14ac:dyDescent="0.3">
      <c r="B350" s="110">
        <f>B346-B347-B348-B349</f>
        <v>19.920000000000002</v>
      </c>
      <c r="C350" s="110">
        <f>C346-C347-C348-C349</f>
        <v>38.83</v>
      </c>
    </row>
    <row r="351" spans="1:15" s="98" customFormat="1" ht="14.4" hidden="1" x14ac:dyDescent="0.3">
      <c r="B351" s="110">
        <v>20</v>
      </c>
      <c r="C351" s="110">
        <v>39</v>
      </c>
    </row>
    <row r="352" spans="1:15" s="98" customFormat="1" ht="14.4" hidden="1" x14ac:dyDescent="0.3">
      <c r="B352" s="110">
        <f>25-B348</f>
        <v>22.92</v>
      </c>
      <c r="C352" s="110">
        <f>25-C348</f>
        <v>20.83</v>
      </c>
    </row>
    <row r="353" spans="2:9" s="98" customFormat="1" ht="14.4" hidden="1" x14ac:dyDescent="0.3">
      <c r="B353" s="110">
        <f>(216+B352)*1/12</f>
        <v>19.91</v>
      </c>
      <c r="C353" s="110">
        <f>(216+C352)*2/12</f>
        <v>39.471666666666664</v>
      </c>
    </row>
    <row r="354" spans="2:9" s="98" customFormat="1" ht="14.4" hidden="1" x14ac:dyDescent="0.3">
      <c r="B354" s="110">
        <v>20</v>
      </c>
      <c r="C354" s="110">
        <v>39.5</v>
      </c>
    </row>
    <row r="355" spans="2:9" s="98" customFormat="1" ht="14.4" hidden="1" x14ac:dyDescent="0.3">
      <c r="B355" s="110">
        <f>B351-B354</f>
        <v>0</v>
      </c>
      <c r="C355" s="110">
        <f>C351-C354</f>
        <v>-0.5</v>
      </c>
    </row>
    <row r="356" spans="2:9" s="98" customFormat="1" hidden="1" x14ac:dyDescent="0.25"/>
    <row r="357" spans="2:9" s="98" customFormat="1" ht="14.4" hidden="1" x14ac:dyDescent="0.3">
      <c r="B357" s="106" t="s">
        <v>121</v>
      </c>
      <c r="C357" s="106" t="s">
        <v>122</v>
      </c>
      <c r="D357" s="106" t="s">
        <v>123</v>
      </c>
      <c r="E357" s="106" t="s">
        <v>124</v>
      </c>
      <c r="F357" s="106" t="s">
        <v>125</v>
      </c>
      <c r="G357" s="106" t="s">
        <v>126</v>
      </c>
      <c r="H357" s="106" t="s">
        <v>127</v>
      </c>
      <c r="I357" s="106" t="s">
        <v>128</v>
      </c>
    </row>
    <row r="358" spans="2:9" s="98" customFormat="1" ht="14.4" hidden="1" x14ac:dyDescent="0.3">
      <c r="B358" s="110">
        <v>92</v>
      </c>
      <c r="C358" s="110">
        <v>122</v>
      </c>
      <c r="D358" s="110">
        <v>153</v>
      </c>
      <c r="E358" s="110">
        <v>184</v>
      </c>
      <c r="F358" s="110">
        <v>214</v>
      </c>
      <c r="G358" s="110">
        <v>245</v>
      </c>
      <c r="H358" s="110">
        <v>275</v>
      </c>
      <c r="I358" s="110">
        <v>306</v>
      </c>
    </row>
    <row r="359" spans="2:9" s="98" customFormat="1" ht="14.4" hidden="1" x14ac:dyDescent="0.3">
      <c r="B359" s="110">
        <v>26</v>
      </c>
      <c r="C359" s="110">
        <v>34</v>
      </c>
      <c r="D359" s="110">
        <v>44</v>
      </c>
      <c r="E359" s="110">
        <v>52</v>
      </c>
      <c r="F359" s="110">
        <v>62</v>
      </c>
      <c r="G359" s="110">
        <v>70</v>
      </c>
      <c r="H359" s="110">
        <v>78</v>
      </c>
      <c r="I359" s="110">
        <v>87</v>
      </c>
    </row>
    <row r="360" spans="2:9" s="98" customFormat="1" ht="14.4" hidden="1" x14ac:dyDescent="0.3">
      <c r="B360" s="110">
        <v>6.25</v>
      </c>
      <c r="C360" s="110">
        <v>8.33</v>
      </c>
      <c r="D360" s="110">
        <v>10.42</v>
      </c>
      <c r="E360" s="110">
        <v>12.5</v>
      </c>
      <c r="F360" s="110">
        <v>14.58</v>
      </c>
      <c r="G360" s="110">
        <v>16.670000000000002</v>
      </c>
      <c r="H360" s="110">
        <v>18.75</v>
      </c>
      <c r="I360" s="110">
        <v>20.83</v>
      </c>
    </row>
    <row r="361" spans="2:9" s="98" customFormat="1" ht="14.4" hidden="1" x14ac:dyDescent="0.3">
      <c r="B361" s="110">
        <v>2</v>
      </c>
      <c r="C361" s="110">
        <v>2</v>
      </c>
      <c r="D361" s="110">
        <v>2</v>
      </c>
      <c r="E361" s="110">
        <v>3</v>
      </c>
      <c r="F361" s="110">
        <v>3</v>
      </c>
      <c r="G361" s="110">
        <v>6</v>
      </c>
      <c r="H361" s="110">
        <v>7</v>
      </c>
      <c r="I361" s="110">
        <v>7</v>
      </c>
    </row>
    <row r="362" spans="2:9" s="98" customFormat="1" ht="14.4" hidden="1" x14ac:dyDescent="0.3">
      <c r="B362" s="110">
        <f t="shared" ref="B362:I362" si="1">B358-B359-B360-B361</f>
        <v>57.75</v>
      </c>
      <c r="C362" s="110">
        <f t="shared" si="1"/>
        <v>77.67</v>
      </c>
      <c r="D362" s="110">
        <f t="shared" si="1"/>
        <v>96.58</v>
      </c>
      <c r="E362" s="110">
        <f t="shared" si="1"/>
        <v>116.5</v>
      </c>
      <c r="F362" s="110">
        <f t="shared" si="1"/>
        <v>134.41999999999999</v>
      </c>
      <c r="G362" s="110">
        <f t="shared" si="1"/>
        <v>152.32999999999998</v>
      </c>
      <c r="H362" s="110">
        <f t="shared" si="1"/>
        <v>171.25</v>
      </c>
      <c r="I362" s="110">
        <f t="shared" si="1"/>
        <v>191.17000000000002</v>
      </c>
    </row>
    <row r="363" spans="2:9" s="98" customFormat="1" ht="14.4" hidden="1" x14ac:dyDescent="0.3">
      <c r="B363" s="110">
        <v>58</v>
      </c>
      <c r="C363" s="110">
        <v>77.5</v>
      </c>
      <c r="D363" s="110">
        <v>96.5</v>
      </c>
      <c r="E363" s="110">
        <v>116.5</v>
      </c>
      <c r="F363" s="110">
        <v>134.5</v>
      </c>
      <c r="G363" s="110">
        <v>152</v>
      </c>
      <c r="H363" s="110">
        <v>171</v>
      </c>
      <c r="I363" s="110">
        <v>191</v>
      </c>
    </row>
    <row r="364" spans="2:9" s="98" customFormat="1" ht="14.4" hidden="1" x14ac:dyDescent="0.3">
      <c r="B364" s="110">
        <f t="shared" ref="B364:I364" si="2">25-B360</f>
        <v>18.75</v>
      </c>
      <c r="C364" s="110">
        <f t="shared" si="2"/>
        <v>16.670000000000002</v>
      </c>
      <c r="D364" s="110">
        <f t="shared" si="2"/>
        <v>14.58</v>
      </c>
      <c r="E364" s="110">
        <f t="shared" si="2"/>
        <v>12.5</v>
      </c>
      <c r="F364" s="110">
        <f t="shared" si="2"/>
        <v>10.42</v>
      </c>
      <c r="G364" s="110">
        <f t="shared" si="2"/>
        <v>8.3299999999999983</v>
      </c>
      <c r="H364" s="110">
        <f t="shared" si="2"/>
        <v>6.25</v>
      </c>
      <c r="I364" s="110">
        <f t="shared" si="2"/>
        <v>4.1700000000000017</v>
      </c>
    </row>
    <row r="365" spans="2:9" s="98" customFormat="1" ht="14.4" hidden="1" x14ac:dyDescent="0.3">
      <c r="B365" s="110">
        <f>(216+B364)*3/12</f>
        <v>58.6875</v>
      </c>
      <c r="C365" s="110">
        <f>(216+C364)*4/12</f>
        <v>77.556666666666672</v>
      </c>
      <c r="D365" s="110">
        <f>(216+D364)*5/12</f>
        <v>96.075000000000003</v>
      </c>
      <c r="E365" s="110">
        <f>(216+E364)*6/12</f>
        <v>114.25</v>
      </c>
      <c r="F365" s="110">
        <f>(216+F364)*7/12</f>
        <v>132.07833333333332</v>
      </c>
      <c r="G365" s="110">
        <f>(216+G364)*8/12</f>
        <v>149.55333333333331</v>
      </c>
      <c r="H365" s="110">
        <f>(216+H364)*9/12</f>
        <v>166.6875</v>
      </c>
      <c r="I365" s="110">
        <f>(216+I364)*10/12</f>
        <v>183.47500000000002</v>
      </c>
    </row>
    <row r="366" spans="2:9" s="98" customFormat="1" ht="14.4" hidden="1" x14ac:dyDescent="0.3">
      <c r="B366" s="110">
        <v>58.5</v>
      </c>
      <c r="C366" s="110">
        <v>77.5</v>
      </c>
      <c r="D366" s="110">
        <v>96</v>
      </c>
      <c r="E366" s="110">
        <v>114</v>
      </c>
      <c r="F366" s="110">
        <v>132</v>
      </c>
      <c r="G366" s="110">
        <v>149.5</v>
      </c>
      <c r="H366" s="110">
        <v>166.5</v>
      </c>
      <c r="I366" s="110">
        <v>183.5</v>
      </c>
    </row>
    <row r="367" spans="2:9" s="98" customFormat="1" ht="14.4" hidden="1" x14ac:dyDescent="0.3">
      <c r="B367" s="110">
        <f t="shared" ref="B367:I367" si="3">B363-B366</f>
        <v>-0.5</v>
      </c>
      <c r="C367" s="110">
        <f t="shared" si="3"/>
        <v>0</v>
      </c>
      <c r="D367" s="110">
        <f t="shared" si="3"/>
        <v>0.5</v>
      </c>
      <c r="E367" s="110">
        <f t="shared" si="3"/>
        <v>2.5</v>
      </c>
      <c r="F367" s="110">
        <f t="shared" si="3"/>
        <v>2.5</v>
      </c>
      <c r="G367" s="110">
        <f t="shared" si="3"/>
        <v>2.5</v>
      </c>
      <c r="H367" s="110">
        <f t="shared" si="3"/>
        <v>4.5</v>
      </c>
      <c r="I367" s="110">
        <f t="shared" si="3"/>
        <v>7.5</v>
      </c>
    </row>
    <row r="368" spans="2:9" s="98" customFormat="1" hidden="1" x14ac:dyDescent="0.25"/>
    <row r="369" spans="8:9" s="98" customFormat="1" hidden="1" x14ac:dyDescent="0.25"/>
    <row r="370" spans="8:9" s="98" customFormat="1" ht="14.4" hidden="1" x14ac:dyDescent="0.3">
      <c r="H370" s="106" t="s">
        <v>129</v>
      </c>
      <c r="I370" s="106" t="s">
        <v>130</v>
      </c>
    </row>
    <row r="371" spans="8:9" s="98" customFormat="1" ht="14.4" hidden="1" x14ac:dyDescent="0.3">
      <c r="H371" s="110">
        <v>335</v>
      </c>
      <c r="I371" s="110">
        <v>366</v>
      </c>
    </row>
    <row r="372" spans="8:9" s="98" customFormat="1" ht="14.4" hidden="1" x14ac:dyDescent="0.3">
      <c r="H372" s="110">
        <v>96</v>
      </c>
      <c r="I372" s="110">
        <v>104</v>
      </c>
    </row>
    <row r="373" spans="8:9" s="98" customFormat="1" ht="14.4" hidden="1" x14ac:dyDescent="0.3">
      <c r="H373" s="110">
        <v>22.92</v>
      </c>
      <c r="I373" s="110">
        <v>25</v>
      </c>
    </row>
    <row r="374" spans="8:9" s="98" customFormat="1" ht="14.4" hidden="1" x14ac:dyDescent="0.3">
      <c r="H374" s="110">
        <v>7</v>
      </c>
      <c r="I374" s="110">
        <v>8</v>
      </c>
    </row>
    <row r="375" spans="8:9" s="98" customFormat="1" ht="14.4" hidden="1" x14ac:dyDescent="0.3">
      <c r="H375" s="110">
        <f>H371-H372-H373-H374</f>
        <v>209.07999999999998</v>
      </c>
      <c r="I375" s="110">
        <f>I371-I372-I373-I374</f>
        <v>229</v>
      </c>
    </row>
    <row r="376" spans="8:9" s="98" customFormat="1" ht="14.4" hidden="1" x14ac:dyDescent="0.3">
      <c r="H376" s="110">
        <v>209</v>
      </c>
      <c r="I376" s="110">
        <v>229</v>
      </c>
    </row>
    <row r="377" spans="8:9" s="98" customFormat="1" ht="14.4" hidden="1" x14ac:dyDescent="0.3">
      <c r="H377" s="110">
        <f>25-H373</f>
        <v>2.0799999999999983</v>
      </c>
      <c r="I377" s="110">
        <f>25-I373</f>
        <v>0</v>
      </c>
    </row>
    <row r="378" spans="8:9" s="98" customFormat="1" ht="14.4" hidden="1" x14ac:dyDescent="0.3">
      <c r="H378" s="110">
        <f>(216+H377)*11/12</f>
        <v>199.90666666666664</v>
      </c>
      <c r="I378" s="110">
        <f>(216+I377)*12/12</f>
        <v>216</v>
      </c>
    </row>
    <row r="379" spans="8:9" s="98" customFormat="1" ht="14.4" hidden="1" x14ac:dyDescent="0.3">
      <c r="H379" s="110">
        <v>200</v>
      </c>
      <c r="I379" s="110">
        <v>216</v>
      </c>
    </row>
    <row r="380" spans="8:9" s="98" customFormat="1" ht="14.4" hidden="1" x14ac:dyDescent="0.3">
      <c r="H380" s="110">
        <f>H376-H379</f>
        <v>9</v>
      </c>
      <c r="I380" s="110">
        <f>I376-I379</f>
        <v>13</v>
      </c>
    </row>
  </sheetData>
  <mergeCells count="14">
    <mergeCell ref="D244:E244"/>
    <mergeCell ref="B65:D65"/>
    <mergeCell ref="B1:J1"/>
    <mergeCell ref="B55:D55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C7:H7"/>
  </mergeCells>
  <phoneticPr fontId="21" type="noConversion"/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80" orientation="landscape" horizontalDpi="4294967293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F59AE-17C6-4E4F-8313-51EE58DB2264}">
  <dimension ref="A1:K56"/>
  <sheetViews>
    <sheetView topLeftCell="A24" zoomScale="118" workbookViewId="0">
      <selection activeCell="J23" sqref="J23"/>
    </sheetView>
  </sheetViews>
  <sheetFormatPr baseColWidth="10" defaultColWidth="11.44140625" defaultRowHeight="15.6" x14ac:dyDescent="0.3"/>
  <cols>
    <col min="1" max="1" width="18.6640625" style="47" customWidth="1"/>
    <col min="2" max="2" width="24.21875" style="47" customWidth="1"/>
    <col min="3" max="3" width="33.5546875" style="47" customWidth="1"/>
    <col min="4" max="7" width="11.44140625" style="47"/>
    <col min="8" max="8" width="13.109375" style="47" customWidth="1"/>
    <col min="9" max="16384" width="11.44140625" style="47"/>
  </cols>
  <sheetData>
    <row r="1" spans="1:7" x14ac:dyDescent="0.3">
      <c r="A1" s="68" t="s">
        <v>52</v>
      </c>
      <c r="C1" s="47" t="s">
        <v>330</v>
      </c>
    </row>
    <row r="2" spans="1:7" x14ac:dyDescent="0.3">
      <c r="A2" s="68"/>
    </row>
    <row r="3" spans="1:7" x14ac:dyDescent="0.3">
      <c r="A3" s="68"/>
      <c r="B3" s="3"/>
      <c r="C3" s="3"/>
      <c r="D3" s="5">
        <v>2024</v>
      </c>
    </row>
    <row r="4" spans="1:7" x14ac:dyDescent="0.3">
      <c r="A4" s="68"/>
      <c r="B4" s="3" t="s">
        <v>5</v>
      </c>
      <c r="C4" s="3"/>
      <c r="D4" s="4">
        <v>366</v>
      </c>
      <c r="F4" s="91"/>
      <c r="G4" s="92"/>
    </row>
    <row r="5" spans="1:7" x14ac:dyDescent="0.3">
      <c r="A5" s="68"/>
      <c r="B5" s="3" t="s">
        <v>6</v>
      </c>
      <c r="C5" s="3"/>
      <c r="D5" s="60">
        <v>-104</v>
      </c>
      <c r="F5" s="91"/>
      <c r="G5" s="92"/>
    </row>
    <row r="6" spans="1:7" x14ac:dyDescent="0.3">
      <c r="A6" s="68"/>
      <c r="B6" s="3" t="s">
        <v>8</v>
      </c>
      <c r="C6" s="3"/>
      <c r="D6" s="60">
        <v>-25</v>
      </c>
      <c r="F6" s="91"/>
      <c r="G6" s="92"/>
    </row>
    <row r="7" spans="1:7" x14ac:dyDescent="0.3">
      <c r="A7" s="68"/>
      <c r="B7" s="3" t="s">
        <v>308</v>
      </c>
      <c r="C7" s="3"/>
      <c r="D7" s="60">
        <f>-10</f>
        <v>-10</v>
      </c>
      <c r="F7" s="91"/>
      <c r="G7" s="92"/>
    </row>
    <row r="8" spans="1:7" x14ac:dyDescent="0.3">
      <c r="A8" s="68"/>
      <c r="B8" s="3" t="s">
        <v>9</v>
      </c>
      <c r="C8" s="3"/>
      <c r="D8" s="86">
        <f>-10</f>
        <v>-10</v>
      </c>
      <c r="F8" s="91"/>
      <c r="G8" s="92"/>
    </row>
    <row r="9" spans="1:7" x14ac:dyDescent="0.3">
      <c r="A9" s="68"/>
      <c r="B9" s="3" t="s">
        <v>190</v>
      </c>
      <c r="C9" s="3"/>
      <c r="D9" s="60">
        <f>1</f>
        <v>1</v>
      </c>
      <c r="F9" s="91"/>
      <c r="G9" s="92"/>
    </row>
    <row r="10" spans="1:7" x14ac:dyDescent="0.3">
      <c r="A10" s="68"/>
      <c r="B10" s="3"/>
      <c r="C10" s="3"/>
      <c r="D10" s="5">
        <f>SUM(D4:D9)</f>
        <v>218</v>
      </c>
      <c r="F10" s="92"/>
      <c r="G10" s="92"/>
    </row>
    <row r="11" spans="1:7" x14ac:dyDescent="0.3">
      <c r="A11" s="68"/>
    </row>
    <row r="12" spans="1:7" x14ac:dyDescent="0.3">
      <c r="A12" s="68"/>
    </row>
    <row r="14" spans="1:7" x14ac:dyDescent="0.3">
      <c r="A14" s="68" t="s">
        <v>284</v>
      </c>
    </row>
    <row r="15" spans="1:7" x14ac:dyDescent="0.3">
      <c r="C15" s="47" t="s">
        <v>274</v>
      </c>
      <c r="F15" s="47" t="s">
        <v>281</v>
      </c>
      <c r="G15" s="47">
        <v>218</v>
      </c>
    </row>
    <row r="17" spans="1:11" x14ac:dyDescent="0.3">
      <c r="C17" s="47" t="s">
        <v>275</v>
      </c>
    </row>
    <row r="19" spans="1:11" x14ac:dyDescent="0.3">
      <c r="D19" s="47" t="s">
        <v>276</v>
      </c>
    </row>
    <row r="20" spans="1:11" x14ac:dyDescent="0.3">
      <c r="A20" s="97" t="s">
        <v>176</v>
      </c>
      <c r="B20" s="55"/>
      <c r="C20" s="62">
        <v>45474</v>
      </c>
      <c r="F20" s="69">
        <v>45474</v>
      </c>
      <c r="G20" s="47" t="s">
        <v>277</v>
      </c>
      <c r="H20" s="69">
        <v>45657</v>
      </c>
      <c r="J20" s="47">
        <v>184</v>
      </c>
      <c r="K20" s="47" t="s">
        <v>278</v>
      </c>
    </row>
    <row r="21" spans="1:11" x14ac:dyDescent="0.3">
      <c r="A21" s="97" t="s">
        <v>179</v>
      </c>
      <c r="B21" s="55"/>
      <c r="C21" s="62">
        <v>45292</v>
      </c>
    </row>
    <row r="22" spans="1:11" x14ac:dyDescent="0.3">
      <c r="A22" s="97" t="s">
        <v>177</v>
      </c>
      <c r="B22" s="55"/>
      <c r="C22" s="62">
        <v>45657</v>
      </c>
      <c r="D22" s="47" t="s">
        <v>279</v>
      </c>
      <c r="J22" s="47">
        <v>52</v>
      </c>
      <c r="K22" s="47" t="s">
        <v>280</v>
      </c>
    </row>
    <row r="23" spans="1:11" x14ac:dyDescent="0.3">
      <c r="A23" s="97" t="s">
        <v>178</v>
      </c>
      <c r="B23" s="55"/>
      <c r="C23" s="63">
        <f>C22-C20+1</f>
        <v>184</v>
      </c>
    </row>
    <row r="24" spans="1:11" x14ac:dyDescent="0.3">
      <c r="A24" s="97" t="s">
        <v>181</v>
      </c>
      <c r="B24" s="55"/>
      <c r="C24" s="63">
        <f>NETWORKDAYS(C20,C22)</f>
        <v>132</v>
      </c>
      <c r="D24" s="47" t="s">
        <v>328</v>
      </c>
      <c r="I24" s="47" t="s">
        <v>327</v>
      </c>
      <c r="J24" s="47">
        <v>4</v>
      </c>
    </row>
    <row r="25" spans="1:11" x14ac:dyDescent="0.3">
      <c r="A25" s="97" t="s">
        <v>182</v>
      </c>
      <c r="B25" s="55"/>
      <c r="C25" s="63">
        <f>C23-C24</f>
        <v>52</v>
      </c>
    </row>
    <row r="26" spans="1:11" x14ac:dyDescent="0.3">
      <c r="D26" s="47" t="s">
        <v>329</v>
      </c>
      <c r="J26" s="47">
        <v>0</v>
      </c>
    </row>
    <row r="28" spans="1:11" x14ac:dyDescent="0.3">
      <c r="D28" s="47" t="s">
        <v>282</v>
      </c>
      <c r="G28" s="70" t="s">
        <v>331</v>
      </c>
      <c r="H28" s="70">
        <f>10*184/366</f>
        <v>5.027322404371585</v>
      </c>
      <c r="I28" s="47" t="s">
        <v>283</v>
      </c>
      <c r="J28" s="47">
        <v>5</v>
      </c>
    </row>
    <row r="29" spans="1:11" x14ac:dyDescent="0.3">
      <c r="D29" s="47" t="s">
        <v>332</v>
      </c>
    </row>
    <row r="30" spans="1:11" x14ac:dyDescent="0.3">
      <c r="J30" s="93">
        <f>J20-J22-J24-J28</f>
        <v>123</v>
      </c>
      <c r="K30" s="47" t="s">
        <v>347</v>
      </c>
    </row>
    <row r="31" spans="1:11" x14ac:dyDescent="0.3">
      <c r="J31" s="93"/>
    </row>
    <row r="32" spans="1:11" x14ac:dyDescent="0.3">
      <c r="D32" s="1" t="s">
        <v>272</v>
      </c>
    </row>
    <row r="33" spans="1:11" x14ac:dyDescent="0.3">
      <c r="D33" s="1" t="s">
        <v>99</v>
      </c>
    </row>
    <row r="34" spans="1:11" x14ac:dyDescent="0.3">
      <c r="D34" s="1"/>
    </row>
    <row r="35" spans="1:11" x14ac:dyDescent="0.3">
      <c r="A35" s="68" t="s">
        <v>285</v>
      </c>
      <c r="C35" s="47" t="s">
        <v>336</v>
      </c>
      <c r="J35" s="47">
        <v>1</v>
      </c>
    </row>
    <row r="37" spans="1:11" x14ac:dyDescent="0.3">
      <c r="J37" s="93">
        <f>J30+J35</f>
        <v>124</v>
      </c>
      <c r="K37" s="47" t="s">
        <v>286</v>
      </c>
    </row>
    <row r="41" spans="1:11" ht="0.6" hidden="1" customHeight="1" x14ac:dyDescent="0.3">
      <c r="A41" s="68" t="s">
        <v>223</v>
      </c>
      <c r="B41" s="47">
        <v>2024</v>
      </c>
    </row>
    <row r="42" spans="1:11" ht="0.6" hidden="1" customHeight="1" x14ac:dyDescent="0.3">
      <c r="C42" s="47">
        <v>218</v>
      </c>
      <c r="D42" s="47" t="s">
        <v>287</v>
      </c>
    </row>
    <row r="43" spans="1:11" ht="0.6" hidden="1" customHeight="1" x14ac:dyDescent="0.3">
      <c r="C43" s="47">
        <v>25</v>
      </c>
      <c r="D43" s="47" t="s">
        <v>288</v>
      </c>
    </row>
    <row r="44" spans="1:11" ht="0.6" hidden="1" customHeight="1" x14ac:dyDescent="0.3">
      <c r="C44" s="47">
        <v>10</v>
      </c>
      <c r="D44" s="47" t="s">
        <v>289</v>
      </c>
    </row>
    <row r="45" spans="1:11" ht="0.6" hidden="1" customHeight="1" x14ac:dyDescent="0.3">
      <c r="C45" s="47">
        <f>SUM(C42:C44)</f>
        <v>253</v>
      </c>
    </row>
    <row r="46" spans="1:11" ht="0.6" hidden="1" customHeight="1" x14ac:dyDescent="0.3"/>
    <row r="47" spans="1:11" ht="0.6" hidden="1" customHeight="1" x14ac:dyDescent="0.3">
      <c r="C47" s="47" t="s">
        <v>290</v>
      </c>
      <c r="E47" s="47">
        <v>184</v>
      </c>
      <c r="F47" s="47" t="s">
        <v>291</v>
      </c>
    </row>
    <row r="48" spans="1:11" ht="0.6" hidden="1" customHeight="1" x14ac:dyDescent="0.3">
      <c r="E48" s="47">
        <v>366</v>
      </c>
    </row>
    <row r="49" spans="2:4" ht="0.6" hidden="1" customHeight="1" x14ac:dyDescent="0.3"/>
    <row r="50" spans="2:4" ht="0.6" hidden="1" customHeight="1" x14ac:dyDescent="0.3">
      <c r="C50" s="47" t="s">
        <v>334</v>
      </c>
      <c r="D50" s="47">
        <f>C45*E47/E48</f>
        <v>127.19125683060109</v>
      </c>
    </row>
    <row r="51" spans="2:4" ht="0.6" hidden="1" customHeight="1" x14ac:dyDescent="0.3"/>
    <row r="52" spans="2:4" ht="0.6" hidden="1" customHeight="1" x14ac:dyDescent="0.3">
      <c r="C52" s="47">
        <v>127</v>
      </c>
      <c r="D52" s="47" t="s">
        <v>292</v>
      </c>
    </row>
    <row r="53" spans="2:4" ht="0.6" hidden="1" customHeight="1" x14ac:dyDescent="0.3">
      <c r="C53" s="47">
        <v>4</v>
      </c>
      <c r="D53" s="47" t="s">
        <v>333</v>
      </c>
    </row>
    <row r="54" spans="2:4" ht="0.6" hidden="1" customHeight="1" x14ac:dyDescent="0.3">
      <c r="C54" s="47">
        <v>123</v>
      </c>
      <c r="D54" s="47" t="s">
        <v>293</v>
      </c>
    </row>
    <row r="55" spans="2:4" ht="0.6" hidden="1" customHeight="1" x14ac:dyDescent="0.3"/>
    <row r="56" spans="2:4" ht="0.6" hidden="1" customHeight="1" x14ac:dyDescent="0.3">
      <c r="B56" s="47" t="s">
        <v>335</v>
      </c>
    </row>
  </sheetData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80" orientation="landscape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29742-E8C7-4422-A87E-81973EB00B05}">
  <dimension ref="A1:I38"/>
  <sheetViews>
    <sheetView tabSelected="1" topLeftCell="A16" workbookViewId="0">
      <selection activeCell="F26" sqref="F26:H31"/>
    </sheetView>
  </sheetViews>
  <sheetFormatPr baseColWidth="10" defaultColWidth="11.44140625" defaultRowHeight="13.8" x14ac:dyDescent="0.25"/>
  <cols>
    <col min="1" max="1" width="11.44140625" style="50"/>
    <col min="2" max="2" width="42.88671875" style="50" customWidth="1"/>
    <col min="3" max="5" width="11.44140625" style="50"/>
    <col min="6" max="6" width="16.21875" style="50" customWidth="1"/>
    <col min="7" max="7" width="27.33203125" style="50" customWidth="1"/>
    <col min="8" max="16384" width="11.44140625" style="50"/>
  </cols>
  <sheetData>
    <row r="1" spans="1:9" x14ac:dyDescent="0.25">
      <c r="A1" s="50" t="s">
        <v>337</v>
      </c>
    </row>
    <row r="3" spans="1:9" ht="15.6" x14ac:dyDescent="0.3">
      <c r="A3" s="5" t="s">
        <v>226</v>
      </c>
      <c r="B3" s="3"/>
    </row>
    <row r="4" spans="1:9" ht="15.6" x14ac:dyDescent="0.3">
      <c r="A4" s="4">
        <v>366</v>
      </c>
      <c r="B4" s="3" t="s">
        <v>227</v>
      </c>
      <c r="G4" s="94"/>
      <c r="H4" s="94"/>
      <c r="I4" s="94"/>
    </row>
    <row r="5" spans="1:9" ht="15.6" x14ac:dyDescent="0.3">
      <c r="A5" s="4">
        <f>-104</f>
        <v>-104</v>
      </c>
      <c r="B5" s="3" t="s">
        <v>25</v>
      </c>
      <c r="G5" s="94"/>
      <c r="H5" s="94"/>
      <c r="I5" s="94"/>
    </row>
    <row r="6" spans="1:9" ht="15.6" x14ac:dyDescent="0.3">
      <c r="A6" s="4">
        <f>-25</f>
        <v>-25</v>
      </c>
      <c r="B6" s="3" t="s">
        <v>26</v>
      </c>
      <c r="G6" s="94"/>
      <c r="H6" s="94"/>
      <c r="I6" s="94"/>
    </row>
    <row r="7" spans="1:9" ht="15.6" x14ac:dyDescent="0.3">
      <c r="A7" s="4">
        <f>-10</f>
        <v>-10</v>
      </c>
      <c r="B7" s="3" t="s">
        <v>228</v>
      </c>
      <c r="G7" s="94"/>
      <c r="H7" s="94"/>
      <c r="I7" s="94"/>
    </row>
    <row r="8" spans="1:9" ht="15.6" x14ac:dyDescent="0.3">
      <c r="A8" s="4">
        <v>-10</v>
      </c>
      <c r="B8" s="3" t="s">
        <v>326</v>
      </c>
      <c r="G8" s="94"/>
      <c r="H8" s="94"/>
      <c r="I8" s="94"/>
    </row>
    <row r="9" spans="1:9" ht="15.6" x14ac:dyDescent="0.3">
      <c r="A9" s="4">
        <v>1</v>
      </c>
      <c r="B9" s="3" t="s">
        <v>10</v>
      </c>
      <c r="G9" s="94"/>
      <c r="H9" s="94"/>
      <c r="I9" s="94"/>
    </row>
    <row r="10" spans="1:9" ht="15.6" x14ac:dyDescent="0.3">
      <c r="A10" s="4">
        <f>SUM(A4:A9)</f>
        <v>218</v>
      </c>
      <c r="B10" s="3" t="s">
        <v>27</v>
      </c>
      <c r="G10" s="94"/>
      <c r="H10" s="94"/>
      <c r="I10" s="94"/>
    </row>
    <row r="11" spans="1:9" x14ac:dyDescent="0.25">
      <c r="G11" s="94"/>
      <c r="H11" s="94"/>
      <c r="I11" s="94"/>
    </row>
    <row r="12" spans="1:9" ht="15.6" x14ac:dyDescent="0.3">
      <c r="B12" s="3"/>
    </row>
    <row r="14" spans="1:9" x14ac:dyDescent="0.25">
      <c r="B14" s="23" t="s">
        <v>341</v>
      </c>
      <c r="C14" s="1"/>
      <c r="D14" s="1"/>
      <c r="E14" s="1"/>
      <c r="F14" s="1"/>
      <c r="G14" s="1"/>
    </row>
    <row r="15" spans="1:9" x14ac:dyDescent="0.25">
      <c r="B15" s="1"/>
      <c r="C15" s="1"/>
      <c r="D15" s="1"/>
      <c r="E15" s="1"/>
      <c r="F15" s="1"/>
      <c r="G15" s="1"/>
    </row>
    <row r="16" spans="1:9" ht="15.6" x14ac:dyDescent="0.3">
      <c r="B16" s="1"/>
      <c r="C16" s="3" t="s">
        <v>259</v>
      </c>
      <c r="D16" s="29"/>
      <c r="E16" s="1"/>
      <c r="F16" s="1"/>
      <c r="G16" s="1"/>
    </row>
    <row r="17" spans="1:9" ht="15.6" x14ac:dyDescent="0.3">
      <c r="B17" s="1"/>
      <c r="C17" s="3" t="s">
        <v>261</v>
      </c>
      <c r="D17" s="29"/>
      <c r="E17" s="1"/>
      <c r="F17" s="1"/>
      <c r="G17" s="1"/>
    </row>
    <row r="18" spans="1:9" ht="15.6" x14ac:dyDescent="0.3">
      <c r="B18" s="1"/>
      <c r="C18" s="3" t="s">
        <v>94</v>
      </c>
      <c r="D18" s="23"/>
      <c r="E18" s="1"/>
      <c r="F18" s="1"/>
      <c r="G18" s="1"/>
    </row>
    <row r="19" spans="1:9" ht="15.6" x14ac:dyDescent="0.3">
      <c r="B19" s="1"/>
      <c r="C19" s="3" t="s">
        <v>262</v>
      </c>
      <c r="D19" s="23"/>
      <c r="E19" s="1"/>
      <c r="F19" s="1"/>
      <c r="G19" s="1"/>
    </row>
    <row r="20" spans="1:9" x14ac:dyDescent="0.25">
      <c r="B20" s="1"/>
      <c r="C20" s="1" t="s">
        <v>264</v>
      </c>
      <c r="D20" s="1"/>
      <c r="E20" s="1"/>
      <c r="F20" s="1"/>
      <c r="G20" s="1"/>
    </row>
    <row r="21" spans="1:9" x14ac:dyDescent="0.25">
      <c r="B21" s="1"/>
      <c r="C21" s="1" t="s">
        <v>320</v>
      </c>
      <c r="D21" s="1"/>
      <c r="E21" s="1"/>
      <c r="F21" s="1"/>
      <c r="G21" s="1"/>
    </row>
    <row r="22" spans="1:9" x14ac:dyDescent="0.25">
      <c r="B22" s="1"/>
      <c r="C22" s="1"/>
      <c r="D22" s="1"/>
      <c r="E22" s="1"/>
      <c r="F22" s="1"/>
      <c r="G22" s="1"/>
    </row>
    <row r="23" spans="1:9" ht="15.6" x14ac:dyDescent="0.3">
      <c r="A23" s="90" t="s">
        <v>323</v>
      </c>
      <c r="B23" s="90"/>
      <c r="C23" s="3"/>
      <c r="D23" s="1"/>
      <c r="E23" s="1"/>
      <c r="F23" s="1"/>
      <c r="G23" s="1"/>
    </row>
    <row r="25" spans="1:9" ht="15.6" x14ac:dyDescent="0.3">
      <c r="A25" s="3" t="s">
        <v>87</v>
      </c>
      <c r="C25" s="4">
        <v>244</v>
      </c>
    </row>
    <row r="26" spans="1:9" ht="15.6" x14ac:dyDescent="0.3">
      <c r="A26" s="3" t="s">
        <v>25</v>
      </c>
      <c r="C26" s="4">
        <f>-70</f>
        <v>-70</v>
      </c>
      <c r="D26" s="89" t="s">
        <v>321</v>
      </c>
      <c r="F26" s="55" t="s">
        <v>176</v>
      </c>
      <c r="G26" s="55"/>
      <c r="H26" s="62">
        <v>45414</v>
      </c>
      <c r="I26" s="48"/>
    </row>
    <row r="27" spans="1:9" ht="15.6" x14ac:dyDescent="0.3">
      <c r="A27" s="3" t="s">
        <v>322</v>
      </c>
      <c r="C27" s="4">
        <f>-3</f>
        <v>-3</v>
      </c>
      <c r="F27" s="55" t="s">
        <v>179</v>
      </c>
      <c r="G27" s="55"/>
      <c r="H27" s="62">
        <v>45292</v>
      </c>
      <c r="I27" s="48"/>
    </row>
    <row r="28" spans="1:9" ht="15.6" x14ac:dyDescent="0.3">
      <c r="A28" s="3" t="s">
        <v>324</v>
      </c>
      <c r="C28" s="4">
        <f>-7</f>
        <v>-7</v>
      </c>
      <c r="F28" s="55" t="s">
        <v>177</v>
      </c>
      <c r="G28" s="55"/>
      <c r="H28" s="62">
        <v>45657</v>
      </c>
      <c r="I28" s="48"/>
    </row>
    <row r="29" spans="1:9" ht="15.6" x14ac:dyDescent="0.3">
      <c r="A29" s="3" t="s">
        <v>269</v>
      </c>
      <c r="C29" s="4"/>
      <c r="D29" s="50" t="s">
        <v>319</v>
      </c>
      <c r="F29" s="55" t="s">
        <v>178</v>
      </c>
      <c r="G29" s="55"/>
      <c r="H29" s="63">
        <f>H28-H26+1</f>
        <v>244</v>
      </c>
      <c r="I29" s="58"/>
    </row>
    <row r="30" spans="1:9" ht="15.6" x14ac:dyDescent="0.3">
      <c r="A30" s="3" t="s">
        <v>10</v>
      </c>
      <c r="C30" s="4">
        <v>1</v>
      </c>
      <c r="F30" s="55" t="s">
        <v>181</v>
      </c>
      <c r="G30" s="55"/>
      <c r="H30" s="63">
        <f>NETWORKDAYS(H26,H28)</f>
        <v>174</v>
      </c>
      <c r="I30" s="58" t="s">
        <v>339</v>
      </c>
    </row>
    <row r="31" spans="1:9" ht="15.6" x14ac:dyDescent="0.3">
      <c r="A31" s="3" t="s">
        <v>325</v>
      </c>
      <c r="C31" s="4">
        <f>SUM(C25:C30)</f>
        <v>165</v>
      </c>
      <c r="F31" s="55" t="s">
        <v>182</v>
      </c>
      <c r="G31" s="55"/>
      <c r="H31" s="63">
        <f>H29-H30</f>
        <v>70</v>
      </c>
      <c r="I31" s="58"/>
    </row>
    <row r="34" spans="2:5" x14ac:dyDescent="0.25">
      <c r="B34" s="50" t="s">
        <v>338</v>
      </c>
    </row>
    <row r="35" spans="2:5" x14ac:dyDescent="0.25">
      <c r="B35" s="50" t="s">
        <v>340</v>
      </c>
      <c r="C35" s="50">
        <f>10*244/366</f>
        <v>6.666666666666667</v>
      </c>
      <c r="D35" s="50" t="s">
        <v>283</v>
      </c>
      <c r="E35" s="50">
        <v>7</v>
      </c>
    </row>
    <row r="37" spans="2:5" x14ac:dyDescent="0.25">
      <c r="C37" s="1" t="s">
        <v>272</v>
      </c>
    </row>
    <row r="38" spans="2:5" x14ac:dyDescent="0.25">
      <c r="C38" s="1" t="s">
        <v>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VAL ABSENCES</vt:lpstr>
      <vt:lpstr>COURS </vt:lpstr>
      <vt:lpstr>EX 1 </vt:lpstr>
      <vt:lpstr>calcul nb de jours de repos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Bienvenue</dc:creator>
  <cp:lastModifiedBy>jacques LE CHEVANTON</cp:lastModifiedBy>
  <cp:lastPrinted>2024-03-28T08:35:03Z</cp:lastPrinted>
  <dcterms:created xsi:type="dcterms:W3CDTF">2019-12-02T18:41:55Z</dcterms:created>
  <dcterms:modified xsi:type="dcterms:W3CDTF">2024-03-28T09:00:17Z</dcterms:modified>
</cp:coreProperties>
</file>