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fa77d33fea66a78b/Desktop/EXCEL POUR LA PAIE 2024/TELECHARGEMENTS 2024/CHAPITRES 13 ' 14 - 15/"/>
    </mc:Choice>
  </mc:AlternateContent>
  <xr:revisionPtr revIDLastSave="4" documentId="13_ncr:1_{FB46A82A-042D-49AC-8E28-C600231556AA}" xr6:coauthVersionLast="47" xr6:coauthVersionMax="47" xr10:uidLastSave="{8A41E150-F7C2-4B94-BC0D-9A7E4C556CC2}"/>
  <bookViews>
    <workbookView xWindow="-108" yWindow="-108" windowWidth="23256" windowHeight="12456" xr2:uid="{3AF2696C-014D-4E25-AF99-AF8600BD52BD}"/>
  </bookViews>
  <sheets>
    <sheet name="Feuil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1" i="1" l="1"/>
  <c r="C40" i="1"/>
  <c r="C39" i="1"/>
  <c r="C38" i="1"/>
  <c r="C37" i="1"/>
  <c r="E27" i="1"/>
  <c r="E26" i="1"/>
  <c r="F25" i="1"/>
  <c r="E25" i="1"/>
  <c r="C17" i="1"/>
  <c r="C12" i="1"/>
  <c r="C15" i="1"/>
  <c r="C16" i="1" l="1"/>
  <c r="C14" i="1"/>
  <c r="G30" i="1" s="1"/>
  <c r="F26" i="1"/>
  <c r="G25" i="1"/>
  <c r="C44" i="1"/>
  <c r="C47" i="1" s="1"/>
  <c r="C42" i="1"/>
  <c r="C49" i="1"/>
  <c r="C46" i="1" s="1"/>
  <c r="C53" i="1"/>
  <c r="C43" i="1"/>
  <c r="C56" i="1"/>
  <c r="C54" i="1" l="1"/>
  <c r="C48" i="1"/>
  <c r="C50" i="1"/>
  <c r="C51" i="1"/>
  <c r="C52" i="1"/>
  <c r="C55" i="1"/>
  <c r="C45" i="1"/>
  <c r="C57" i="1"/>
  <c r="F27" i="1"/>
  <c r="G27" i="1" s="1"/>
  <c r="G26" i="1"/>
  <c r="G28" i="1" s="1"/>
  <c r="G29" i="1" s="1"/>
  <c r="G31" i="1" s="1"/>
  <c r="C59" i="1" l="1"/>
  <c r="C58" i="1"/>
  <c r="G34" i="1"/>
  <c r="G33" i="1"/>
  <c r="G32" i="1"/>
</calcChain>
</file>

<file path=xl/sharedStrings.xml><?xml version="1.0" encoding="utf-8"?>
<sst xmlns="http://schemas.openxmlformats.org/spreadsheetml/2006/main" count="73" uniqueCount="67">
  <si>
    <t xml:space="preserve">Saisir les zones en jaune seulement </t>
  </si>
  <si>
    <t xml:space="preserve">Date de début de l'arrêt </t>
  </si>
  <si>
    <t xml:space="preserve">Date de fin de l'arrêt </t>
  </si>
  <si>
    <t xml:space="preserve">Date de début du mois </t>
  </si>
  <si>
    <t xml:space="preserve">Date de fin du mois </t>
  </si>
  <si>
    <t xml:space="preserve">Base de calcul de l'absence </t>
  </si>
  <si>
    <t xml:space="preserve">Nombre de jours calendaires </t>
  </si>
  <si>
    <t xml:space="preserve">Nombre de jours de carence </t>
  </si>
  <si>
    <t xml:space="preserve">Nombre d'IJSS </t>
  </si>
  <si>
    <t xml:space="preserve">Nombre de Samedis </t>
  </si>
  <si>
    <t xml:space="preserve">Nombre de jours ouvrables </t>
  </si>
  <si>
    <t>Nombre de jours ouvrés</t>
  </si>
  <si>
    <t xml:space="preserve">SMICH 202N </t>
  </si>
  <si>
    <t>SMICH 202N-1</t>
  </si>
  <si>
    <t>B</t>
  </si>
  <si>
    <t xml:space="preserve">C </t>
  </si>
  <si>
    <t xml:space="preserve">D </t>
  </si>
  <si>
    <t>E</t>
  </si>
  <si>
    <t>F</t>
  </si>
  <si>
    <t>G</t>
  </si>
  <si>
    <t>MATRICE DE  CALCUL    IJSS MALADIE   202N</t>
  </si>
  <si>
    <t>Col 1</t>
  </si>
  <si>
    <t>Col 2</t>
  </si>
  <si>
    <t>Col 3</t>
  </si>
  <si>
    <t>Col 4</t>
  </si>
  <si>
    <t xml:space="preserve">Col 5 </t>
  </si>
  <si>
    <t>Col 6</t>
  </si>
  <si>
    <t xml:space="preserve">ANNEE </t>
  </si>
  <si>
    <t xml:space="preserve">MOIS </t>
  </si>
  <si>
    <t xml:space="preserve">SALAIRES DE REFERENCE  BRUTS </t>
  </si>
  <si>
    <t xml:space="preserve">Limite de 1,8 SMIC </t>
  </si>
  <si>
    <t xml:space="preserve">CALCUL IJSS MIN( Col 5;Col7) </t>
  </si>
  <si>
    <t>202N</t>
  </si>
  <si>
    <t>MOIS N-1</t>
  </si>
  <si>
    <t>FEVRIER</t>
  </si>
  <si>
    <t>Mois N-2</t>
  </si>
  <si>
    <t>JANVIER</t>
  </si>
  <si>
    <t>202N-1</t>
  </si>
  <si>
    <t>Mois N-3</t>
  </si>
  <si>
    <t>DECEMBRE</t>
  </si>
  <si>
    <t xml:space="preserve">TOTAL </t>
  </si>
  <si>
    <t xml:space="preserve">Valeur d'1 IJSS </t>
  </si>
  <si>
    <t>Nombre d'IJSS</t>
  </si>
  <si>
    <t xml:space="preserve">Montant Brut des IJSS </t>
  </si>
  <si>
    <t xml:space="preserve">Montant Net des IJSS </t>
  </si>
  <si>
    <t xml:space="preserve">CSG / CRDS  2,9 % sur les IJSS Non déductible </t>
  </si>
  <si>
    <t xml:space="preserve">La décomposition est utile pour le prélévement à la source </t>
  </si>
  <si>
    <t xml:space="preserve">CSG déductible 3,8 % sur les IJSS </t>
  </si>
  <si>
    <t xml:space="preserve">MATRICE 3 VALORISATION ABSENCES </t>
  </si>
  <si>
    <t xml:space="preserve">Base de calcul absence </t>
  </si>
  <si>
    <t xml:space="preserve">Nombre de Samedis entre 2 dates </t>
  </si>
  <si>
    <t xml:space="preserve">Nombre de jours ouvrés  d'absence </t>
  </si>
  <si>
    <t xml:space="preserve">Nombre de jours ouvrables  d'absence </t>
  </si>
  <si>
    <t xml:space="preserve">Nombre d'heures réelles du mois </t>
  </si>
  <si>
    <t xml:space="preserve">Nombre d'heures réelles d'absence </t>
  </si>
  <si>
    <t xml:space="preserve">Retenue absence heures réelles du mois </t>
  </si>
  <si>
    <t xml:space="preserve">Nombre de jours ouvrés réels du mois </t>
  </si>
  <si>
    <t xml:space="preserve">Retenue absence jours ouvrés réels du mois </t>
  </si>
  <si>
    <t>Retenue absence 1 / 22</t>
  </si>
  <si>
    <t xml:space="preserve">Retenue absence 1/21,67 </t>
  </si>
  <si>
    <t xml:space="preserve">Nombre de jours calendaires réels du mois </t>
  </si>
  <si>
    <t xml:space="preserve">Retenue absence jours calendaires réels  du mois </t>
  </si>
  <si>
    <t xml:space="preserve">Retenue absence 1/ 30 éme </t>
  </si>
  <si>
    <t xml:space="preserve">Nombre de Samedis dans le mois </t>
  </si>
  <si>
    <t xml:space="preserve">Nombre de jours ouvrables  réels du mois </t>
  </si>
  <si>
    <t xml:space="preserve">Retenue absence jours ouvrables réels du mois </t>
  </si>
  <si>
    <t xml:space="preserve">Retenue absence 1/ 26 éme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</si>
</sst>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name val="Times New Roman"/>
      <family val="1"/>
    </font>
    <font>
      <sz val="12"/>
      <color rgb="FFFF0000"/>
      <name val="Times New Roman"/>
      <family val="1"/>
    </font>
    <font>
      <sz val="12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" fillId="0" borderId="0"/>
  </cellStyleXfs>
  <cellXfs count="46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14" fontId="3" fillId="2" borderId="1" xfId="0" applyNumberFormat="1" applyFont="1" applyFill="1" applyBorder="1" applyAlignment="1">
      <alignment horizontal="center" vertical="center" wrapText="1"/>
    </xf>
    <xf numFmtId="14" fontId="3" fillId="0" borderId="0" xfId="0" applyNumberFormat="1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3" fillId="0" borderId="0" xfId="2" applyFont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0" borderId="0" xfId="2" applyFont="1"/>
    <xf numFmtId="0" fontId="3" fillId="0" borderId="1" xfId="0" applyFont="1" applyBorder="1" applyAlignment="1">
      <alignment horizontal="center"/>
    </xf>
    <xf numFmtId="0" fontId="2" fillId="0" borderId="3" xfId="2" applyFont="1" applyBorder="1" applyAlignment="1">
      <alignment horizontal="center" vertical="center" wrapText="1"/>
    </xf>
    <xf numFmtId="0" fontId="2" fillId="0" borderId="1" xfId="2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2" fontId="6" fillId="0" borderId="1" xfId="2" applyNumberFormat="1" applyFont="1" applyBorder="1" applyAlignment="1">
      <alignment horizontal="center" vertical="center" wrapText="1"/>
    </xf>
    <xf numFmtId="1" fontId="3" fillId="2" borderId="3" xfId="2" applyNumberFormat="1" applyFont="1" applyFill="1" applyBorder="1" applyAlignment="1">
      <alignment horizontal="center" vertical="center" wrapText="1"/>
    </xf>
    <xf numFmtId="2" fontId="3" fillId="0" borderId="1" xfId="2" applyNumberFormat="1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3" fontId="3" fillId="2" borderId="1" xfId="1" applyFont="1" applyFill="1" applyBorder="1" applyAlignment="1">
      <alignment horizontal="center" vertical="center" wrapText="1"/>
    </xf>
    <xf numFmtId="43" fontId="3" fillId="0" borderId="1" xfId="1" applyFont="1" applyFill="1" applyBorder="1" applyAlignment="1">
      <alignment horizontal="center" vertical="center" wrapText="1"/>
    </xf>
    <xf numFmtId="43" fontId="6" fillId="0" borderId="1" xfId="1" applyFont="1" applyFill="1" applyBorder="1" applyAlignment="1">
      <alignment horizontal="center" vertical="center" wrapText="1"/>
    </xf>
    <xf numFmtId="0" fontId="6" fillId="0" borderId="0" xfId="0" applyFont="1"/>
    <xf numFmtId="2" fontId="3" fillId="0" borderId="0" xfId="2" applyNumberFormat="1" applyFont="1" applyAlignment="1">
      <alignment horizontal="center" vertical="center" wrapText="1"/>
    </xf>
    <xf numFmtId="2" fontId="3" fillId="0" borderId="6" xfId="2" applyNumberFormat="1" applyFont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 wrapText="1"/>
    </xf>
    <xf numFmtId="14" fontId="3" fillId="4" borderId="1" xfId="0" applyNumberFormat="1" applyFont="1" applyFill="1" applyBorder="1" applyAlignment="1">
      <alignment horizontal="center" vertical="center" wrapText="1"/>
    </xf>
    <xf numFmtId="14" fontId="3" fillId="0" borderId="0" xfId="0" applyNumberFormat="1" applyFont="1" applyAlignment="1">
      <alignment horizontal="center"/>
    </xf>
    <xf numFmtId="4" fontId="3" fillId="0" borderId="0" xfId="0" applyNumberFormat="1" applyFont="1" applyAlignment="1">
      <alignment horizontal="center"/>
    </xf>
    <xf numFmtId="2" fontId="3" fillId="4" borderId="1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0" xfId="2" applyFont="1" applyFill="1" applyAlignment="1">
      <alignment horizontal="center" vertical="center" wrapText="1"/>
    </xf>
    <xf numFmtId="2" fontId="6" fillId="0" borderId="2" xfId="2" applyNumberFormat="1" applyFont="1" applyBorder="1" applyAlignment="1">
      <alignment horizontal="center" vertical="center" wrapText="1"/>
    </xf>
    <xf numFmtId="2" fontId="6" fillId="0" borderId="3" xfId="2" applyNumberFormat="1" applyFont="1" applyBorder="1" applyAlignment="1">
      <alignment horizontal="center" vertical="center" wrapText="1"/>
    </xf>
  </cellXfs>
  <cellStyles count="3">
    <cellStyle name="Milliers" xfId="1" builtinId="3"/>
    <cellStyle name="Normal" xfId="0" builtinId="0"/>
    <cellStyle name="Normal 2" xfId="2" xr:uid="{9DDA585E-029E-49B5-AAAA-7D248BC7C10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Bienvenue\Desktop\EXCEL%20POUR%20LA%20PAIE\MMAT\FICHIERS%20EXCEL%20MALADIE%20EXERCICES\2.BULLETIN%20DE%20PAIE%20MALADIE%20EXERCICE%201%20HYPOTHESE%201.1%20NON%20SUBROGATION.xlsx" TargetMode="External"/><Relationship Id="rId1" Type="http://schemas.openxmlformats.org/officeDocument/2006/relationships/externalLinkPath" Target="/Users/Bienvenue/Desktop/EXCEL%20POUR%20LA%20PAIE/MMAT/FICHIERS%20EXCEL%20MALADIE%20EXERCICES/2.BULLETIN%20DE%20PAIE%20MALADIE%20EXERCICE%201%20HYPOTHESE%201.1%20NON%20SUBROGATI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NONCE"/>
      <sheetName val="CORRECTION "/>
      <sheetName val="MASQUE DE SAISIE "/>
      <sheetName val="MATRICE IJSS ABSENCE "/>
      <sheetName val="BP VERSION JANVIER 2023"/>
      <sheetName val="BP FORMAT JUILLET 2023"/>
      <sheetName val="TAUX NEUTRE "/>
      <sheetName val="TABLE DES TAUX 2023 "/>
      <sheetName val="RED. GEN. de COT. Janv"/>
      <sheetName val="RED GEN DE COT MOIS ISOLE"/>
      <sheetName val="HEURES SUPPLEMENTAIRES "/>
      <sheetName val="TRAME VIERGE BP JANVIER 2023"/>
      <sheetName val="TRAME VIERGE JUILLET 2023 "/>
      <sheetName val="calcul HEURES SUPP"/>
    </sheetNames>
    <sheetDataSet>
      <sheetData sheetId="0"/>
      <sheetData sheetId="1">
        <row r="16">
          <cell r="F16">
            <v>2800</v>
          </cell>
        </row>
        <row r="17">
          <cell r="F17">
            <v>2500</v>
          </cell>
        </row>
        <row r="18">
          <cell r="F18">
            <v>3300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36F660-7207-47EE-AEA2-15710032BF43}">
  <dimension ref="A3:I60"/>
  <sheetViews>
    <sheetView tabSelected="1" topLeftCell="A4" workbookViewId="0">
      <selection activeCell="C11" sqref="C11"/>
    </sheetView>
  </sheetViews>
  <sheetFormatPr baseColWidth="10" defaultColWidth="11.44140625" defaultRowHeight="15.6" x14ac:dyDescent="0.3"/>
  <cols>
    <col min="1" max="1" width="7" style="1" customWidth="1"/>
    <col min="2" max="2" width="23.33203125" style="3" customWidth="1"/>
    <col min="3" max="6" width="14.88671875" style="3" customWidth="1"/>
    <col min="7" max="7" width="16.33203125" style="3" customWidth="1"/>
    <col min="8" max="16384" width="11.44140625" style="3"/>
  </cols>
  <sheetData>
    <row r="3" spans="2:7" x14ac:dyDescent="0.3">
      <c r="B3" s="40"/>
      <c r="C3" s="40"/>
    </row>
    <row r="4" spans="2:7" ht="25.5" customHeight="1" x14ac:dyDescent="0.3"/>
    <row r="5" spans="2:7" ht="52.5" customHeight="1" x14ac:dyDescent="0.3">
      <c r="B5" s="41" t="s">
        <v>0</v>
      </c>
      <c r="C5" s="42"/>
      <c r="D5" s="1"/>
      <c r="E5" s="1"/>
      <c r="F5" s="1"/>
      <c r="G5" s="1"/>
    </row>
    <row r="6" spans="2:7" ht="22.5" customHeight="1" x14ac:dyDescent="0.3"/>
    <row r="7" spans="2:7" ht="52.5" customHeight="1" x14ac:dyDescent="0.3">
      <c r="B7" s="4" t="s">
        <v>1</v>
      </c>
      <c r="C7" s="5">
        <v>45372</v>
      </c>
      <c r="D7" s="6"/>
      <c r="E7" s="6"/>
      <c r="F7" s="6"/>
      <c r="G7" s="6"/>
    </row>
    <row r="8" spans="2:7" ht="52.5" customHeight="1" x14ac:dyDescent="0.3">
      <c r="B8" s="4" t="s">
        <v>2</v>
      </c>
      <c r="C8" s="5">
        <v>45382</v>
      </c>
      <c r="D8" s="6"/>
      <c r="E8" s="6"/>
      <c r="F8" s="6"/>
      <c r="G8" s="6"/>
    </row>
    <row r="9" spans="2:7" ht="52.5" customHeight="1" x14ac:dyDescent="0.3">
      <c r="B9" s="7" t="s">
        <v>3</v>
      </c>
      <c r="C9" s="5">
        <v>45352</v>
      </c>
      <c r="D9" s="6"/>
      <c r="E9" s="6"/>
      <c r="F9" s="6"/>
      <c r="G9" s="1"/>
    </row>
    <row r="10" spans="2:7" ht="52.5" customHeight="1" x14ac:dyDescent="0.3">
      <c r="B10" s="7" t="s">
        <v>4</v>
      </c>
      <c r="C10" s="5">
        <v>45382</v>
      </c>
      <c r="D10" s="6"/>
      <c r="E10" s="6"/>
      <c r="F10" s="6"/>
      <c r="G10" s="1"/>
    </row>
    <row r="11" spans="2:7" ht="52.5" customHeight="1" x14ac:dyDescent="0.3">
      <c r="B11" s="7" t="s">
        <v>5</v>
      </c>
      <c r="C11" s="8">
        <v>2500</v>
      </c>
      <c r="D11" s="6"/>
      <c r="E11" s="6"/>
      <c r="F11" s="6"/>
      <c r="G11" s="1"/>
    </row>
    <row r="12" spans="2:7" ht="52.5" customHeight="1" x14ac:dyDescent="0.3">
      <c r="B12" s="4" t="s">
        <v>6</v>
      </c>
      <c r="C12" s="7">
        <f>C8-C7+1</f>
        <v>11</v>
      </c>
      <c r="D12" s="1"/>
      <c r="E12" s="1"/>
      <c r="F12" s="1"/>
      <c r="G12" s="1"/>
    </row>
    <row r="13" spans="2:7" ht="30" customHeight="1" x14ac:dyDescent="0.3">
      <c r="B13" s="4" t="s">
        <v>7</v>
      </c>
      <c r="C13" s="7">
        <v>3</v>
      </c>
      <c r="D13" s="1"/>
      <c r="E13" s="1"/>
      <c r="F13" s="1"/>
      <c r="G13" s="1"/>
    </row>
    <row r="14" spans="2:7" ht="30" customHeight="1" x14ac:dyDescent="0.3">
      <c r="B14" s="4" t="s">
        <v>8</v>
      </c>
      <c r="C14" s="7">
        <f>C12-C13</f>
        <v>8</v>
      </c>
      <c r="D14" s="37"/>
      <c r="E14" s="38"/>
      <c r="F14" s="38"/>
      <c r="G14" s="1"/>
    </row>
    <row r="15" spans="2:7" ht="30" customHeight="1" x14ac:dyDescent="0.3">
      <c r="B15" s="4" t="s">
        <v>9</v>
      </c>
      <c r="C15" s="7">
        <f ca="1">SUMPRODUCT((WEEKDAY(ROW(INDIRECT(C$7&amp;":"&amp;C$8)))=7)*1)</f>
        <v>2</v>
      </c>
      <c r="D15" s="1"/>
      <c r="E15" s="1"/>
      <c r="F15" s="1"/>
      <c r="G15" s="1"/>
    </row>
    <row r="16" spans="2:7" ht="30" customHeight="1" x14ac:dyDescent="0.3">
      <c r="B16" s="4" t="s">
        <v>10</v>
      </c>
      <c r="C16" s="7">
        <f ca="1">C12-C15</f>
        <v>9</v>
      </c>
      <c r="D16" s="1"/>
      <c r="E16" s="1"/>
      <c r="F16" s="1"/>
      <c r="G16" s="1"/>
    </row>
    <row r="17" spans="1:7" ht="30" customHeight="1" x14ac:dyDescent="0.3">
      <c r="B17" s="4" t="s">
        <v>11</v>
      </c>
      <c r="C17" s="7">
        <f>NETWORKDAYS(C7,C8)</f>
        <v>7</v>
      </c>
      <c r="D17" s="1"/>
      <c r="E17" s="1"/>
      <c r="F17" s="1"/>
      <c r="G17" s="1"/>
    </row>
    <row r="18" spans="1:7" ht="35.25" customHeight="1" x14ac:dyDescent="0.3">
      <c r="B18" s="1"/>
      <c r="C18" s="1"/>
      <c r="D18" s="9"/>
      <c r="E18" s="9"/>
      <c r="F18" s="9"/>
      <c r="G18" s="9"/>
    </row>
    <row r="19" spans="1:7" ht="30" customHeight="1" x14ac:dyDescent="0.3">
      <c r="B19" s="7" t="s">
        <v>12</v>
      </c>
      <c r="C19" s="10">
        <v>11.27</v>
      </c>
      <c r="D19" s="1"/>
      <c r="E19" s="1"/>
      <c r="F19" s="1"/>
      <c r="G19" s="1"/>
    </row>
    <row r="20" spans="1:7" ht="46.5" customHeight="1" x14ac:dyDescent="0.3">
      <c r="B20" s="11" t="s">
        <v>13</v>
      </c>
      <c r="C20" s="12">
        <v>11.07</v>
      </c>
      <c r="D20" s="13"/>
      <c r="E20" s="13"/>
      <c r="F20" s="13"/>
      <c r="G20" s="13"/>
    </row>
    <row r="21" spans="1:7" ht="16.5" customHeight="1" x14ac:dyDescent="0.3">
      <c r="B21" s="7" t="s">
        <v>14</v>
      </c>
      <c r="C21" s="14" t="s">
        <v>15</v>
      </c>
      <c r="D21" s="14" t="s">
        <v>16</v>
      </c>
      <c r="E21" s="14" t="s">
        <v>17</v>
      </c>
      <c r="F21" s="14" t="s">
        <v>18</v>
      </c>
      <c r="G21" s="14" t="s">
        <v>19</v>
      </c>
    </row>
    <row r="22" spans="1:7" ht="24.75" customHeight="1" x14ac:dyDescent="0.3">
      <c r="B22" s="43" t="s">
        <v>20</v>
      </c>
      <c r="C22" s="43"/>
      <c r="D22" s="43"/>
      <c r="E22" s="43"/>
      <c r="F22" s="43"/>
      <c r="G22" s="43"/>
    </row>
    <row r="23" spans="1:7" ht="30" customHeight="1" x14ac:dyDescent="0.3">
      <c r="A23" s="7">
        <v>23</v>
      </c>
      <c r="B23" s="15" t="s">
        <v>21</v>
      </c>
      <c r="C23" s="16" t="s">
        <v>22</v>
      </c>
      <c r="D23" s="16" t="s">
        <v>23</v>
      </c>
      <c r="E23" s="16" t="s">
        <v>24</v>
      </c>
      <c r="F23" s="16" t="s">
        <v>25</v>
      </c>
      <c r="G23" s="16" t="s">
        <v>26</v>
      </c>
    </row>
    <row r="24" spans="1:7" ht="52.5" customHeight="1" x14ac:dyDescent="0.3">
      <c r="A24" s="7">
        <v>24</v>
      </c>
      <c r="B24" s="17" t="s">
        <v>27</v>
      </c>
      <c r="C24" s="44" t="s">
        <v>28</v>
      </c>
      <c r="D24" s="45"/>
      <c r="E24" s="18" t="s">
        <v>29</v>
      </c>
      <c r="F24" s="18" t="s">
        <v>30</v>
      </c>
      <c r="G24" s="18" t="s">
        <v>31</v>
      </c>
    </row>
    <row r="25" spans="1:7" ht="27" customHeight="1" x14ac:dyDescent="0.3">
      <c r="A25" s="7">
        <v>25</v>
      </c>
      <c r="B25" s="19" t="s">
        <v>32</v>
      </c>
      <c r="C25" s="20" t="s">
        <v>33</v>
      </c>
      <c r="D25" s="21" t="s">
        <v>34</v>
      </c>
      <c r="E25" s="22">
        <f>'[1]CORRECTION '!F16</f>
        <v>2800</v>
      </c>
      <c r="F25" s="23">
        <f>IF(B25="202N",1.8*C19*151.67,1.8*C20*151.67)</f>
        <v>3076.7776199999998</v>
      </c>
      <c r="G25" s="24">
        <f>MIN(F25,E25)</f>
        <v>2800</v>
      </c>
    </row>
    <row r="26" spans="1:7" ht="27" customHeight="1" x14ac:dyDescent="0.3">
      <c r="A26" s="7">
        <v>26</v>
      </c>
      <c r="B26" s="19" t="s">
        <v>32</v>
      </c>
      <c r="C26" s="20" t="s">
        <v>35</v>
      </c>
      <c r="D26" s="21" t="s">
        <v>36</v>
      </c>
      <c r="E26" s="22">
        <f>'[1]CORRECTION '!F17</f>
        <v>2500</v>
      </c>
      <c r="F26" s="23">
        <f>F25</f>
        <v>3076.7776199999998</v>
      </c>
      <c r="G26" s="24">
        <f>MIN(F26,E26)</f>
        <v>2500</v>
      </c>
    </row>
    <row r="27" spans="1:7" ht="27" customHeight="1" x14ac:dyDescent="0.3">
      <c r="A27" s="7">
        <v>27</v>
      </c>
      <c r="B27" s="19" t="s">
        <v>37</v>
      </c>
      <c r="C27" s="20" t="s">
        <v>38</v>
      </c>
      <c r="D27" s="21" t="s">
        <v>39</v>
      </c>
      <c r="E27" s="22">
        <f>'[1]CORRECTION '!F18</f>
        <v>3300</v>
      </c>
      <c r="F27" s="23">
        <f>F26</f>
        <v>3076.7776199999998</v>
      </c>
      <c r="G27" s="24">
        <f>MIN(F27,E27)</f>
        <v>3076.7776199999998</v>
      </c>
    </row>
    <row r="28" spans="1:7" ht="23.25" customHeight="1" x14ac:dyDescent="0.3">
      <c r="A28" s="7">
        <v>28</v>
      </c>
      <c r="B28" s="25"/>
      <c r="C28" s="25"/>
      <c r="D28" s="26"/>
      <c r="E28" s="26"/>
      <c r="F28" s="27" t="s">
        <v>40</v>
      </c>
      <c r="G28" s="23">
        <f>SUM(G25:G27)</f>
        <v>8376.7776200000008</v>
      </c>
    </row>
    <row r="29" spans="1:7" ht="30" customHeight="1" x14ac:dyDescent="0.3">
      <c r="A29" s="7">
        <v>29</v>
      </c>
      <c r="B29" s="25"/>
      <c r="C29" s="25"/>
      <c r="D29" s="13"/>
      <c r="E29" s="13"/>
      <c r="F29" s="20" t="s">
        <v>41</v>
      </c>
      <c r="G29" s="23">
        <f>ROUND(G28*0.5/91.25,6)</f>
        <v>45.900151000000001</v>
      </c>
    </row>
    <row r="30" spans="1:7" ht="27" customHeight="1" x14ac:dyDescent="0.3">
      <c r="A30" s="7">
        <v>30</v>
      </c>
      <c r="B30" s="25"/>
      <c r="C30" s="25"/>
      <c r="D30" s="13"/>
      <c r="E30" s="13"/>
      <c r="F30" s="28" t="s">
        <v>42</v>
      </c>
      <c r="G30" s="24">
        <f>C14</f>
        <v>8</v>
      </c>
    </row>
    <row r="31" spans="1:7" ht="42" customHeight="1" x14ac:dyDescent="0.3">
      <c r="A31" s="7">
        <v>31</v>
      </c>
      <c r="B31" s="25"/>
      <c r="C31" s="25"/>
      <c r="D31" s="13"/>
      <c r="E31" s="13"/>
      <c r="F31" s="20" t="s">
        <v>43</v>
      </c>
      <c r="G31" s="23">
        <f>ROUND(G29*G30,2)</f>
        <v>367.2</v>
      </c>
    </row>
    <row r="32" spans="1:7" ht="42" customHeight="1" x14ac:dyDescent="0.3">
      <c r="A32" s="7">
        <v>32</v>
      </c>
      <c r="B32" s="25"/>
      <c r="C32" s="25"/>
      <c r="D32" s="13"/>
      <c r="E32" s="13"/>
      <c r="F32" s="20" t="s">
        <v>44</v>
      </c>
      <c r="G32" s="23">
        <f>ROUND(G31*0.933,2)</f>
        <v>342.6</v>
      </c>
    </row>
    <row r="33" spans="1:9" ht="45.75" customHeight="1" x14ac:dyDescent="0.3">
      <c r="A33" s="7">
        <v>33</v>
      </c>
      <c r="B33" s="25"/>
      <c r="C33" s="25"/>
      <c r="D33" s="13"/>
      <c r="E33" s="13"/>
      <c r="F33" s="20" t="s">
        <v>45</v>
      </c>
      <c r="G33" s="23">
        <f>G31*2.9%</f>
        <v>10.6488</v>
      </c>
      <c r="H33" s="37" t="s">
        <v>46</v>
      </c>
      <c r="I33" s="38"/>
    </row>
    <row r="34" spans="1:9" ht="47.25" customHeight="1" x14ac:dyDescent="0.3">
      <c r="A34" s="7">
        <v>34</v>
      </c>
      <c r="F34" s="20" t="s">
        <v>47</v>
      </c>
      <c r="G34" s="23">
        <f>G31*3.8%</f>
        <v>13.9536</v>
      </c>
      <c r="H34" s="37"/>
      <c r="I34" s="38"/>
    </row>
    <row r="35" spans="1:9" ht="18" customHeight="1" x14ac:dyDescent="0.3"/>
    <row r="36" spans="1:9" ht="26.25" hidden="1" customHeight="1" x14ac:dyDescent="0.3">
      <c r="B36" s="39" t="s">
        <v>48</v>
      </c>
      <c r="C36" s="39"/>
      <c r="D36" s="39"/>
      <c r="E36" s="39"/>
      <c r="F36" s="39"/>
      <c r="G36" s="39"/>
    </row>
    <row r="37" spans="1:9" ht="28.5" hidden="1" customHeight="1" x14ac:dyDescent="0.3">
      <c r="B37" s="7" t="s">
        <v>1</v>
      </c>
      <c r="C37" s="29">
        <f>C7</f>
        <v>45372</v>
      </c>
      <c r="D37" s="30"/>
      <c r="E37" s="30"/>
      <c r="F37" s="30"/>
      <c r="G37" s="2"/>
    </row>
    <row r="38" spans="1:9" ht="28.5" hidden="1" customHeight="1" x14ac:dyDescent="0.3">
      <c r="B38" s="7" t="s">
        <v>2</v>
      </c>
      <c r="C38" s="29">
        <f>C8</f>
        <v>45382</v>
      </c>
      <c r="D38" s="30"/>
      <c r="E38" s="30"/>
      <c r="F38" s="30"/>
      <c r="G38" s="31"/>
    </row>
    <row r="39" spans="1:9" ht="28.5" hidden="1" customHeight="1" x14ac:dyDescent="0.3">
      <c r="B39" s="7" t="s">
        <v>3</v>
      </c>
      <c r="C39" s="29">
        <f>C9</f>
        <v>45352</v>
      </c>
      <c r="D39" s="6"/>
      <c r="E39" s="6"/>
      <c r="F39" s="6"/>
      <c r="G39" s="1"/>
    </row>
    <row r="40" spans="1:9" ht="28.5" hidden="1" customHeight="1" x14ac:dyDescent="0.3">
      <c r="B40" s="7" t="s">
        <v>4</v>
      </c>
      <c r="C40" s="29">
        <f>C10</f>
        <v>45382</v>
      </c>
      <c r="D40" s="6"/>
      <c r="E40" s="6"/>
      <c r="F40" s="6"/>
      <c r="G40" s="1"/>
    </row>
    <row r="41" spans="1:9" ht="28.5" hidden="1" customHeight="1" x14ac:dyDescent="0.3">
      <c r="B41" s="7" t="s">
        <v>49</v>
      </c>
      <c r="C41" s="32">
        <f>C11</f>
        <v>2500</v>
      </c>
      <c r="D41" s="1"/>
      <c r="E41" s="1"/>
      <c r="F41" s="1"/>
      <c r="G41" s="1"/>
    </row>
    <row r="42" spans="1:9" ht="28.5" hidden="1" customHeight="1" x14ac:dyDescent="0.3">
      <c r="B42" s="33" t="s">
        <v>6</v>
      </c>
      <c r="C42" s="33">
        <f>C38-C37+1</f>
        <v>11</v>
      </c>
      <c r="D42" s="1"/>
      <c r="E42" s="1"/>
      <c r="F42" s="1"/>
      <c r="G42" s="1"/>
    </row>
    <row r="43" spans="1:9" ht="28.5" hidden="1" customHeight="1" x14ac:dyDescent="0.3">
      <c r="B43" s="34" t="s">
        <v>50</v>
      </c>
      <c r="C43" s="34">
        <f ca="1">SUMPRODUCT((WEEKDAY(ROW(INDIRECT(C$37&amp;":"&amp;C$38)))=7)*1)</f>
        <v>2</v>
      </c>
      <c r="D43" s="1"/>
      <c r="E43" s="1"/>
      <c r="F43" s="1"/>
      <c r="G43" s="1"/>
    </row>
    <row r="44" spans="1:9" ht="28.5" hidden="1" customHeight="1" x14ac:dyDescent="0.3">
      <c r="B44" s="33" t="s">
        <v>51</v>
      </c>
      <c r="C44" s="33">
        <f>NETWORKDAYS(C37,C38)</f>
        <v>7</v>
      </c>
      <c r="D44" s="1"/>
      <c r="E44" s="1"/>
      <c r="F44" s="1"/>
      <c r="G44" s="1"/>
    </row>
    <row r="45" spans="1:9" ht="28.5" hidden="1" customHeight="1" x14ac:dyDescent="0.3">
      <c r="B45" s="33" t="s">
        <v>52</v>
      </c>
      <c r="C45" s="33">
        <f ca="1">C42-C43</f>
        <v>9</v>
      </c>
      <c r="D45" s="1"/>
      <c r="E45" s="1"/>
      <c r="F45" s="1"/>
      <c r="G45" s="1"/>
    </row>
    <row r="46" spans="1:9" ht="28.5" hidden="1" customHeight="1" x14ac:dyDescent="0.3">
      <c r="B46" s="35" t="s">
        <v>53</v>
      </c>
      <c r="C46" s="35">
        <f>C49*7</f>
        <v>147</v>
      </c>
      <c r="D46" s="2"/>
      <c r="E46" s="2"/>
      <c r="F46" s="2"/>
      <c r="G46" s="2"/>
    </row>
    <row r="47" spans="1:9" ht="28.5" hidden="1" customHeight="1" x14ac:dyDescent="0.3">
      <c r="B47" s="35" t="s">
        <v>54</v>
      </c>
      <c r="C47" s="35">
        <f>C44*7</f>
        <v>49</v>
      </c>
      <c r="D47" s="2"/>
      <c r="E47" s="2"/>
      <c r="F47" s="2"/>
      <c r="G47" s="2"/>
    </row>
    <row r="48" spans="1:9" ht="28.5" hidden="1" customHeight="1" x14ac:dyDescent="0.3">
      <c r="B48" s="36" t="s">
        <v>55</v>
      </c>
      <c r="C48" s="33">
        <f>ROUND(C41*C47/C46,2)</f>
        <v>833.33</v>
      </c>
      <c r="D48" s="1"/>
      <c r="E48" s="1"/>
      <c r="F48" s="1"/>
      <c r="G48" s="1"/>
    </row>
    <row r="49" spans="2:7" ht="28.5" hidden="1" customHeight="1" x14ac:dyDescent="0.3">
      <c r="B49" s="34" t="s">
        <v>56</v>
      </c>
      <c r="C49" s="34">
        <f>NETWORKDAYS(C39,C40)</f>
        <v>21</v>
      </c>
      <c r="D49" s="1"/>
      <c r="E49" s="1"/>
      <c r="F49" s="1"/>
      <c r="G49" s="1"/>
    </row>
    <row r="50" spans="2:7" ht="28.5" hidden="1" customHeight="1" x14ac:dyDescent="0.3">
      <c r="B50" s="33" t="s">
        <v>57</v>
      </c>
      <c r="C50" s="33">
        <f>ROUND(C41*C44/C49,2)</f>
        <v>833.33</v>
      </c>
      <c r="D50" s="1"/>
      <c r="E50" s="1"/>
      <c r="F50" s="1"/>
      <c r="G50" s="1"/>
    </row>
    <row r="51" spans="2:7" ht="22.5" hidden="1" customHeight="1" x14ac:dyDescent="0.3">
      <c r="B51" s="33" t="s">
        <v>58</v>
      </c>
      <c r="C51" s="33">
        <f>ROUND(C41*C44/22,2)</f>
        <v>795.45</v>
      </c>
      <c r="D51" s="1"/>
      <c r="E51" s="1"/>
      <c r="F51" s="1"/>
      <c r="G51" s="1"/>
    </row>
    <row r="52" spans="2:7" ht="22.5" hidden="1" customHeight="1" x14ac:dyDescent="0.3">
      <c r="B52" s="33" t="s">
        <v>59</v>
      </c>
      <c r="C52" s="33">
        <f>ROUND(C41*C44/21.67,2)</f>
        <v>807.57</v>
      </c>
      <c r="D52" s="1"/>
      <c r="E52" s="1"/>
      <c r="F52" s="1"/>
      <c r="G52" s="1"/>
    </row>
    <row r="53" spans="2:7" ht="28.5" hidden="1" customHeight="1" x14ac:dyDescent="0.3">
      <c r="B53" s="34" t="s">
        <v>60</v>
      </c>
      <c r="C53" s="34">
        <f>C40-C39+1</f>
        <v>31</v>
      </c>
      <c r="D53" s="1"/>
      <c r="E53" s="1"/>
      <c r="F53" s="1"/>
      <c r="G53" s="1"/>
    </row>
    <row r="54" spans="2:7" ht="30" hidden="1" customHeight="1" x14ac:dyDescent="0.3">
      <c r="B54" s="33" t="s">
        <v>61</v>
      </c>
      <c r="C54" s="33">
        <f>ROUND(C41*C42/C53,2)</f>
        <v>887.1</v>
      </c>
      <c r="D54" s="1"/>
      <c r="E54" s="1"/>
      <c r="F54" s="1"/>
      <c r="G54" s="1"/>
    </row>
    <row r="55" spans="2:7" ht="25.5" hidden="1" customHeight="1" x14ac:dyDescent="0.3">
      <c r="B55" s="33" t="s">
        <v>62</v>
      </c>
      <c r="C55" s="33">
        <f>ROUND(C41*C42/30,2)</f>
        <v>916.67</v>
      </c>
      <c r="D55" s="1"/>
      <c r="E55" s="1"/>
      <c r="F55" s="1"/>
      <c r="G55" s="1"/>
    </row>
    <row r="56" spans="2:7" ht="29.25" hidden="1" customHeight="1" x14ac:dyDescent="0.3">
      <c r="B56" s="34" t="s">
        <v>63</v>
      </c>
      <c r="C56" s="34">
        <f ca="1">SUMPRODUCT((WEEKDAY(ROW(INDIRECT($C39&amp;":"&amp;$C40)))=7)*1)</f>
        <v>5</v>
      </c>
      <c r="D56" s="1"/>
      <c r="E56" s="1"/>
      <c r="F56" s="1"/>
      <c r="G56" s="1"/>
    </row>
    <row r="57" spans="2:7" ht="24.75" hidden="1" customHeight="1" x14ac:dyDescent="0.3">
      <c r="B57" s="34" t="s">
        <v>64</v>
      </c>
      <c r="C57" s="34">
        <f ca="1">C53-C56</f>
        <v>26</v>
      </c>
      <c r="D57" s="1"/>
      <c r="E57" s="1"/>
      <c r="F57" s="1"/>
      <c r="G57" s="1"/>
    </row>
    <row r="58" spans="2:7" ht="28.5" hidden="1" customHeight="1" x14ac:dyDescent="0.3">
      <c r="B58" s="33" t="s">
        <v>65</v>
      </c>
      <c r="C58" s="33">
        <f ca="1">ROUND(C41*C45/C57,2)</f>
        <v>865.38</v>
      </c>
      <c r="D58" s="1"/>
      <c r="E58" s="1"/>
      <c r="F58" s="1"/>
      <c r="G58" s="1"/>
    </row>
    <row r="59" spans="2:7" ht="21.75" hidden="1" customHeight="1" x14ac:dyDescent="0.3">
      <c r="B59" s="33" t="s">
        <v>66</v>
      </c>
      <c r="C59" s="33">
        <f ca="1">ROUND(C41*C45/26,2)</f>
        <v>865.38</v>
      </c>
      <c r="D59" s="1"/>
      <c r="E59" s="1"/>
      <c r="F59" s="1"/>
      <c r="G59" s="1"/>
    </row>
    <row r="60" spans="2:7" ht="25.5" hidden="1" customHeight="1" x14ac:dyDescent="0.3"/>
  </sheetData>
  <mergeCells count="7">
    <mergeCell ref="H33:I34"/>
    <mergeCell ref="B36:G36"/>
    <mergeCell ref="B3:C3"/>
    <mergeCell ref="B5:C5"/>
    <mergeCell ref="D14:F14"/>
    <mergeCell ref="B22:G22"/>
    <mergeCell ref="C24:D24"/>
  </mergeCells>
  <pageMargins left="0.11811023622047245" right="0.11811023622047245" top="0.15748031496062992" bottom="0.15748031496062992" header="0.31496062992125984" footer="0.31496062992125984"/>
  <pageSetup paperSize="9" scale="80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Bienvenue</dc:creator>
  <cp:lastModifiedBy>jacques LE CHEVANTON</cp:lastModifiedBy>
  <cp:lastPrinted>2023-08-01T08:34:09Z</cp:lastPrinted>
  <dcterms:created xsi:type="dcterms:W3CDTF">2023-07-23T21:20:00Z</dcterms:created>
  <dcterms:modified xsi:type="dcterms:W3CDTF">2024-02-26T14:04:42Z</dcterms:modified>
</cp:coreProperties>
</file>