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EXCEL POUR LA PAIE 2024/TELECHARGEMENTS 2024/CHAPITRES 7 - 8 - 9/"/>
    </mc:Choice>
  </mc:AlternateContent>
  <xr:revisionPtr revIDLastSave="175" documentId="8_{2AEA0087-98EE-413A-9E1E-AD103665729B}" xr6:coauthVersionLast="47" xr6:coauthVersionMax="47" xr10:uidLastSave="{6B2DE42E-D5F0-47C6-A20E-CF4448E7952F}"/>
  <bookViews>
    <workbookView xWindow="-108" yWindow="-108" windowWidth="23256" windowHeight="12456" firstSheet="1" activeTab="4" xr2:uid="{00000000-000D-0000-FFFF-FFFF00000000}"/>
  </bookViews>
  <sheets>
    <sheet name="MOIS ISOLE " sheetId="6" r:id="rId1"/>
    <sheet name="ENONCE 1 " sheetId="4" r:id="rId2"/>
    <sheet name="APPLICATION 1 CORRIGE " sheetId="11" r:id="rId3"/>
    <sheet name="APPLICATION 2 CORRIGE " sheetId="13" r:id="rId4"/>
    <sheet name="APPLICATION 3 CORRIGE " sheetId="12" r:id="rId5"/>
    <sheet name="APPLICATION 4 CORRIGE " sheetId="14" r:id="rId6"/>
    <sheet name="APPLICATION 5 CORRIGE " sheetId="15" r:id="rId7"/>
    <sheet name="Application 6 Corrigé " sheetId="16" r:id="rId8"/>
    <sheet name="Application 7 Corrigé " sheetId="17" r:id="rId9"/>
    <sheet name="Application 8 Corrigé " sheetId="18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8" l="1"/>
  <c r="G13" i="18"/>
  <c r="G11" i="18"/>
  <c r="G10" i="18"/>
  <c r="D20" i="17"/>
  <c r="D5" i="17"/>
  <c r="D6" i="17"/>
  <c r="C5" i="17"/>
  <c r="D4" i="17"/>
  <c r="C4" i="17"/>
  <c r="C19" i="16"/>
  <c r="C5" i="16"/>
  <c r="B5" i="16"/>
  <c r="C4" i="16"/>
  <c r="B4" i="16"/>
  <c r="C19" i="14"/>
  <c r="C5" i="15"/>
  <c r="C4" i="15"/>
  <c r="B5" i="15"/>
  <c r="B4" i="15"/>
  <c r="C19" i="15"/>
  <c r="C5" i="14"/>
  <c r="C4" i="14"/>
  <c r="B5" i="14"/>
  <c r="B4" i="14"/>
  <c r="C3" i="14"/>
  <c r="C3" i="15" s="1"/>
  <c r="C3" i="16" s="1"/>
  <c r="D3" i="17" s="1"/>
  <c r="C19" i="12"/>
  <c r="C5" i="12"/>
  <c r="B5" i="12"/>
  <c r="C4" i="12"/>
  <c r="B4" i="12"/>
  <c r="C3" i="12"/>
  <c r="C2" i="12"/>
  <c r="C2" i="14" s="1"/>
  <c r="C2" i="15" s="1"/>
  <c r="C2" i="16" s="1"/>
  <c r="D2" i="17" s="1"/>
  <c r="C19" i="13"/>
  <c r="D2" i="11"/>
  <c r="D1" i="11"/>
  <c r="C3" i="13"/>
  <c r="C2" i="13"/>
  <c r="D19" i="11"/>
  <c r="B21" i="6"/>
  <c r="K6" i="15"/>
  <c r="K4" i="15"/>
  <c r="H94" i="4"/>
  <c r="H92" i="4"/>
  <c r="F10" i="18"/>
  <c r="E13" i="18"/>
  <c r="C13" i="18"/>
  <c r="D10" i="18"/>
  <c r="H10" i="18" s="1"/>
  <c r="I10" i="18" s="1"/>
  <c r="J10" i="18" s="1"/>
  <c r="D7" i="17"/>
  <c r="C20" i="17"/>
  <c r="D12" i="17"/>
  <c r="D13" i="17"/>
  <c r="K6" i="17"/>
  <c r="K7" i="17" s="1"/>
  <c r="I7" i="17" s="1"/>
  <c r="I8" i="17" s="1"/>
  <c r="E20" i="17"/>
  <c r="D8" i="17"/>
  <c r="B19" i="16"/>
  <c r="C7" i="16"/>
  <c r="C8" i="16"/>
  <c r="D19" i="16"/>
  <c r="E19" i="16" s="1"/>
  <c r="F19" i="16" s="1"/>
  <c r="C13" i="15"/>
  <c r="C9" i="15"/>
  <c r="C8" i="15"/>
  <c r="K7" i="15"/>
  <c r="K5" i="15"/>
  <c r="K8" i="15"/>
  <c r="C7" i="15" s="1"/>
  <c r="B19" i="15" s="1"/>
  <c r="J3" i="15"/>
  <c r="G27" i="14"/>
  <c r="C10" i="14"/>
  <c r="C8" i="14"/>
  <c r="C6" i="14"/>
  <c r="C13" i="14"/>
  <c r="K8" i="14"/>
  <c r="K7" i="14"/>
  <c r="K6" i="14"/>
  <c r="K10" i="14" s="1"/>
  <c r="J5" i="14"/>
  <c r="C8" i="12"/>
  <c r="J7" i="12"/>
  <c r="J6" i="12"/>
  <c r="J5" i="12"/>
  <c r="J8" i="12" s="1"/>
  <c r="B19" i="12" s="1"/>
  <c r="I4" i="12"/>
  <c r="D19" i="12"/>
  <c r="C13" i="13"/>
  <c r="B19" i="13"/>
  <c r="D19" i="13" s="1"/>
  <c r="H28" i="4"/>
  <c r="H29" i="4" s="1"/>
  <c r="F29" i="4" s="1"/>
  <c r="F30" i="4" s="1"/>
  <c r="C6" i="13"/>
  <c r="C19" i="11"/>
  <c r="L5" i="13"/>
  <c r="L6" i="13" s="1"/>
  <c r="J6" i="13" s="1"/>
  <c r="J7" i="13" s="1"/>
  <c r="E19" i="11"/>
  <c r="D10" i="11"/>
  <c r="D6" i="11"/>
  <c r="D5" i="11"/>
  <c r="H95" i="4"/>
  <c r="H93" i="4"/>
  <c r="H82" i="4"/>
  <c r="G45" i="4"/>
  <c r="G44" i="4"/>
  <c r="G43" i="4"/>
  <c r="H65" i="4"/>
  <c r="H64" i="4"/>
  <c r="H66" i="4"/>
  <c r="H39" i="4"/>
  <c r="G19" i="16" l="1"/>
  <c r="H19" i="16" s="1"/>
  <c r="K10" i="18"/>
  <c r="L10" i="18" s="1"/>
  <c r="N10" i="18" s="1"/>
  <c r="F19" i="11"/>
  <c r="G19" i="11" s="1"/>
  <c r="H19" i="11" s="1"/>
  <c r="I19" i="11" s="1"/>
  <c r="G28" i="14"/>
  <c r="G29" i="14" s="1"/>
  <c r="G25" i="14"/>
  <c r="C7" i="14"/>
  <c r="B19" i="14" s="1"/>
  <c r="F20" i="17"/>
  <c r="G20" i="17" s="1"/>
  <c r="H20" i="17" s="1"/>
  <c r="I20" i="17" s="1"/>
  <c r="D19" i="15"/>
  <c r="E19" i="15" s="1"/>
  <c r="F19" i="15" s="1"/>
  <c r="G19" i="15" s="1"/>
  <c r="H19" i="15" s="1"/>
  <c r="C7" i="12"/>
  <c r="E19" i="12"/>
  <c r="F19" i="12" s="1"/>
  <c r="C8" i="13"/>
  <c r="C7" i="13"/>
  <c r="E19" i="13" s="1"/>
  <c r="F19" i="13" s="1"/>
  <c r="G19" i="12" l="1"/>
  <c r="H19" i="12" s="1"/>
  <c r="G19" i="13"/>
  <c r="H19" i="13" s="1"/>
  <c r="D19" i="14"/>
  <c r="E19" i="14" l="1"/>
  <c r="F19" i="14" s="1"/>
  <c r="G19" i="14" l="1"/>
  <c r="H19" i="14" s="1"/>
  <c r="B12" i="6" l="1"/>
  <c r="C12" i="6"/>
  <c r="D12" i="6"/>
  <c r="E21" i="6" l="1"/>
  <c r="F21" i="6" s="1"/>
  <c r="G21" i="6" s="1"/>
  <c r="E12" i="6"/>
  <c r="F12" i="6" s="1"/>
  <c r="G12" i="6" s="1"/>
  <c r="H12" i="6" s="1"/>
  <c r="I12" i="6" l="1"/>
  <c r="H21" i="6"/>
  <c r="I21" i="6" s="1"/>
  <c r="G170" i="4" l="1"/>
  <c r="G171" i="4" s="1"/>
  <c r="E171" i="4" s="1"/>
  <c r="E172" i="4" s="1"/>
  <c r="C162" i="4"/>
  <c r="H143" i="4"/>
  <c r="H144" i="4" s="1"/>
  <c r="F144" i="4" s="1"/>
  <c r="F145" i="4" s="1"/>
  <c r="G91" i="4"/>
  <c r="G63" i="4"/>
  <c r="F42" i="4"/>
  <c r="H68" i="4" l="1"/>
  <c r="G46" i="4"/>
  <c r="H96" i="4"/>
  <c r="D163" i="4" s="1"/>
  <c r="E11" i="18" s="1"/>
  <c r="F11" i="18" s="1"/>
  <c r="F12" i="18" l="1"/>
  <c r="H80" i="4"/>
  <c r="H83" i="4" s="1"/>
  <c r="F13" i="18" l="1"/>
  <c r="C11" i="18" l="1"/>
  <c r="D11" i="18" s="1"/>
  <c r="C163" i="4"/>
  <c r="C164" i="4"/>
  <c r="C165" i="4"/>
  <c r="D12" i="18" l="1"/>
  <c r="H11" i="18"/>
  <c r="I11" i="18" s="1"/>
  <c r="J11" i="18" s="1"/>
  <c r="K11" i="18" s="1"/>
  <c r="L11" i="18" s="1"/>
  <c r="N11" i="18" s="1"/>
  <c r="D13" i="18" l="1"/>
  <c r="H13" i="18" s="1"/>
  <c r="I13" i="18" s="1"/>
  <c r="J13" i="18" s="1"/>
  <c r="K13" i="18" s="1"/>
  <c r="L13" i="18" s="1"/>
  <c r="H12" i="18"/>
  <c r="I12" i="18" s="1"/>
  <c r="J12" i="18" s="1"/>
  <c r="K12" i="18" s="1"/>
  <c r="L12" i="18" s="1"/>
  <c r="N12" i="18" s="1"/>
  <c r="N13" i="18" l="1"/>
</calcChain>
</file>

<file path=xl/sharedStrings.xml><?xml version="1.0" encoding="utf-8"?>
<sst xmlns="http://schemas.openxmlformats.org/spreadsheetml/2006/main" count="459" uniqueCount="149">
  <si>
    <t>B</t>
  </si>
  <si>
    <t>C</t>
  </si>
  <si>
    <t>D</t>
  </si>
  <si>
    <t>E</t>
  </si>
  <si>
    <t>F</t>
  </si>
  <si>
    <t>G</t>
  </si>
  <si>
    <t>H</t>
  </si>
  <si>
    <t>I</t>
  </si>
  <si>
    <t>J</t>
  </si>
  <si>
    <t>Coefficient E&lt; 50 sal.</t>
  </si>
  <si>
    <t>T</t>
  </si>
  <si>
    <t>Cofficient E&gt;=50 sal.</t>
  </si>
  <si>
    <t xml:space="preserve">Effectifs de l'entreprise </t>
  </si>
  <si>
    <t xml:space="preserve">Seules les cellules en jaune doivent être saisies </t>
  </si>
  <si>
    <t xml:space="preserve">SMIC Horaire applicable </t>
  </si>
  <si>
    <t xml:space="preserve">Nombre d'heures "URSSAF" du mois </t>
  </si>
  <si>
    <t xml:space="preserve">Salaire brut du mois </t>
  </si>
  <si>
    <t xml:space="preserve">Calcul de la Réduction Générale de Cotisations du Mois </t>
  </si>
  <si>
    <t xml:space="preserve">Nombre d'heures effectuées </t>
  </si>
  <si>
    <t xml:space="preserve">SMICH </t>
  </si>
  <si>
    <t>A</t>
  </si>
  <si>
    <t>B = A / (salaire brut soumis à cotisations)</t>
  </si>
  <si>
    <t xml:space="preserve">C  = B -1 </t>
  </si>
  <si>
    <r>
      <t xml:space="preserve"> </t>
    </r>
    <r>
      <rPr>
        <b/>
        <sz val="11"/>
        <color theme="1"/>
        <rFont val="Times New Roman"/>
        <family val="1"/>
      </rPr>
      <t xml:space="preserve">Coefficient </t>
    </r>
    <r>
      <rPr>
        <sz val="11"/>
        <color theme="1"/>
        <rFont val="Times New Roman"/>
        <family val="1"/>
      </rPr>
      <t xml:space="preserve"> 
 D = C *T/0,6</t>
    </r>
  </si>
  <si>
    <t xml:space="preserve">Réduction Gén. De Cot.  = D * Salaire brut soumis à cotisations </t>
  </si>
  <si>
    <t xml:space="preserve">1,6 *SMICH * Nombre d'heures effectuées </t>
  </si>
  <si>
    <t xml:space="preserve">Entreprises de 50 salariés ou plus de 50 salariés </t>
  </si>
  <si>
    <t xml:space="preserve">Réduction FILLON = D * Salaire brut soumis à cotisations </t>
  </si>
  <si>
    <t xml:space="preserve">Entreprises de  moins de 50 salariés </t>
  </si>
  <si>
    <t>Coefficient</t>
  </si>
  <si>
    <t xml:space="preserve">T dans la formulation ci-dessous </t>
  </si>
  <si>
    <t xml:space="preserve">Entreprises de 50 ou  + de 50 salariés </t>
  </si>
  <si>
    <t xml:space="preserve">Coefficient </t>
  </si>
  <si>
    <t>SMICH</t>
  </si>
  <si>
    <t>au 01/05/2023</t>
  </si>
  <si>
    <t xml:space="preserve">Application 1 </t>
  </si>
  <si>
    <t xml:space="preserve">Effectifs </t>
  </si>
  <si>
    <t xml:space="preserve">Salaire  brut soumis  à cotisations </t>
  </si>
  <si>
    <t xml:space="preserve">Salaire brut </t>
  </si>
  <si>
    <t xml:space="preserve">Heures URSSAF </t>
  </si>
  <si>
    <t>Mois de</t>
  </si>
  <si>
    <t xml:space="preserve">Septembre </t>
  </si>
  <si>
    <t xml:space="preserve">Entreprises de moins de 50 salariés </t>
  </si>
  <si>
    <t xml:space="preserve">Réduction Générale de Cotisations  = D * Salaire brut soumis à cotisations </t>
  </si>
  <si>
    <t xml:space="preserve">Application 2 </t>
  </si>
  <si>
    <t>Effectifs</t>
  </si>
  <si>
    <t xml:space="preserve">Mois de </t>
  </si>
  <si>
    <t>mOIS</t>
  </si>
  <si>
    <t>Salaire de base</t>
  </si>
  <si>
    <t>Heures supplémentaires  à + 10 %</t>
  </si>
  <si>
    <t>Salaire brut soumis à cotisations</t>
  </si>
  <si>
    <r>
      <rPr>
        <b/>
        <sz val="11"/>
        <color theme="1"/>
        <rFont val="Times New Roman"/>
        <family val="1"/>
      </rPr>
      <t xml:space="preserve">Coefficient </t>
    </r>
    <r>
      <rPr>
        <sz val="11"/>
        <color theme="1"/>
        <rFont val="Times New Roman"/>
        <family val="1"/>
      </rPr>
      <t xml:space="preserve">  
   D = C *T/0,6</t>
    </r>
  </si>
  <si>
    <t xml:space="preserve">Application 3 </t>
  </si>
  <si>
    <t>Absence du 06/04 au  19/04</t>
  </si>
  <si>
    <t xml:space="preserve">70 heures d'absence sur 1 mois de 140 heures  Heures travaillées :70 heures </t>
  </si>
  <si>
    <t>Maintien de salaire  de  90%</t>
  </si>
  <si>
    <t xml:space="preserve">Selon la CC dés le  1 er jour d'absence </t>
  </si>
  <si>
    <t>IJSS Brute</t>
  </si>
  <si>
    <t>IJSS  = 1900*3*0,5/91,25</t>
  </si>
  <si>
    <t>SALAIRE  BRUT</t>
  </si>
  <si>
    <r>
      <rPr>
        <b/>
        <sz val="11"/>
        <color theme="1"/>
        <rFont val="Times New Roman"/>
        <family val="1"/>
      </rPr>
      <t xml:space="preserve">Coefficient </t>
    </r>
    <r>
      <rPr>
        <sz val="11"/>
        <color theme="1"/>
        <rFont val="Times New Roman"/>
        <family val="1"/>
      </rPr>
      <t xml:space="preserve">
D = C *T/0,6</t>
    </r>
  </si>
  <si>
    <t xml:space="preserve">Pour déterminer le nombre d'heures effectuées on effectue le calcul  suivant : </t>
  </si>
  <si>
    <t xml:space="preserve">151,67 * Salaire brut du mois / Salaire habituel </t>
  </si>
  <si>
    <t xml:space="preserve">151,67 * 1586,37 / 1900 = </t>
  </si>
  <si>
    <t xml:space="preserve">Nombre d'heures effectuées selon les règles de calcul de l'URSSAF </t>
  </si>
  <si>
    <t xml:space="preserve">Application 4 </t>
  </si>
  <si>
    <t xml:space="preserve">Probléme des primes versées et non impactées par l'absence </t>
  </si>
  <si>
    <t xml:space="preserve">70 heures d'absence sur 1 mois de 140 heures  </t>
  </si>
  <si>
    <t xml:space="preserve">Prime (non impactée par l'absence) </t>
  </si>
  <si>
    <t xml:space="preserve">Pour déterminer le nombre d'heures effectuées, selon les règles de calcul de l'URSSAF, on effectue le calcul  suivant : </t>
  </si>
  <si>
    <t>Salaire  s'il n'y avait pas eu d'absence</t>
  </si>
  <si>
    <t xml:space="preserve">1800 + 200 </t>
  </si>
  <si>
    <t>Salaire brut du mois</t>
  </si>
  <si>
    <t xml:space="preserve">On élimine l'incidence de la prime  pour calculer le nombre d'heures du mois </t>
  </si>
  <si>
    <t xml:space="preserve">car la prime n'est pas impactée par l'absence </t>
  </si>
  <si>
    <t>Salaire  SANS ABSENCE  mais hors prime</t>
  </si>
  <si>
    <t xml:space="preserve">Salaire brut du mois hors prime </t>
  </si>
  <si>
    <t>151,67 * 1502,88/1800</t>
  </si>
  <si>
    <t>Application 5</t>
  </si>
  <si>
    <t xml:space="preserve">Probléme des primes versées et  impactées par l'absence </t>
  </si>
  <si>
    <t xml:space="preserve">200 euros proratisée par l'absence </t>
  </si>
  <si>
    <t xml:space="preserve">70 heures d'absence sur 1 mois de 140 heures </t>
  </si>
  <si>
    <t xml:space="preserve">Maintien de salaire  de  90% dés le 1er jour d'absence </t>
  </si>
  <si>
    <t xml:space="preserve">Heures travaillées : 70 heures </t>
  </si>
  <si>
    <t>Prime  impactée par l'absence</t>
  </si>
  <si>
    <r>
      <rPr>
        <b/>
        <sz val="11"/>
        <color theme="1"/>
        <rFont val="Times New Roman"/>
        <family val="1"/>
      </rPr>
      <t xml:space="preserve">Coefficient </t>
    </r>
    <r>
      <rPr>
        <sz val="11"/>
        <color theme="1"/>
        <rFont val="Times New Roman"/>
        <family val="1"/>
      </rPr>
      <t xml:space="preserve">
D = C *0,T/0,6</t>
    </r>
  </si>
  <si>
    <t xml:space="preserve">1,6 *SMICH* Nombre d'heures effectuées </t>
  </si>
  <si>
    <t>Si le salarié avait été présent tout le mois il aurait perçu 1700 + 200</t>
  </si>
  <si>
    <t>Une fois sa prime proratisée et compte tenu de son absence il a perçu 1519,35</t>
  </si>
  <si>
    <t>151,67 * 1602,88/(1700+200)</t>
  </si>
  <si>
    <t xml:space="preserve">Application 6 </t>
  </si>
  <si>
    <t xml:space="preserve">Un salarié travaille à temps partiel 90   heures par mois pour un salaire de 1400 euros </t>
  </si>
  <si>
    <t xml:space="preserve">Application 7 </t>
  </si>
  <si>
    <t xml:space="preserve">Un salarié travaille à temps partiel 90   heures par mois pour un salaire de 1500 euros </t>
  </si>
  <si>
    <t>Heures complémentaires majorées 10 %</t>
  </si>
  <si>
    <t xml:space="preserve">Mois de Septembre </t>
  </si>
  <si>
    <t>Coefficient 
D = C *0,T/0,6</t>
  </si>
  <si>
    <t xml:space="preserve">Application 8 </t>
  </si>
  <si>
    <t xml:space="preserve">Soit les données suivantes concernant un salarié  TRAVAILLANT DANS UNE ENTREPRISE DE + de 50 salariés </t>
  </si>
  <si>
    <t xml:space="preserve">Complétez le tableau ci-dessous  : </t>
  </si>
  <si>
    <t>Mois</t>
  </si>
  <si>
    <t xml:space="preserve">Nombre d'heures </t>
  </si>
  <si>
    <t>Nombre d'heures cumulées</t>
  </si>
  <si>
    <t>Salaire brut</t>
  </si>
  <si>
    <t xml:space="preserve">Salaire brut cumulé </t>
  </si>
  <si>
    <t>B = A / (salaire brut Cumulé soumis à cotisations)</t>
  </si>
  <si>
    <r>
      <rPr>
        <b/>
        <sz val="9"/>
        <color theme="1"/>
        <rFont val="Times New Roman"/>
        <family val="1"/>
      </rPr>
      <t xml:space="preserve">Coefficient </t>
    </r>
    <r>
      <rPr>
        <sz val="9"/>
        <color theme="1"/>
        <rFont val="Times New Roman"/>
        <family val="1"/>
      </rPr>
      <t xml:space="preserve">  Cumulé
   D = C *T/0,6</t>
    </r>
  </si>
  <si>
    <t xml:space="preserve">Réduction Générale de Cotisations Cumulé  = D * Salaire brut Cumule soumis à cotisations </t>
  </si>
  <si>
    <t xml:space="preserve">Réduction Générale de Cotisations du mois </t>
  </si>
  <si>
    <t xml:space="preserve">1,6 *SMICH * Nombre d'heures effectuées ¨Cumulées </t>
  </si>
  <si>
    <t xml:space="preserve">Janvier </t>
  </si>
  <si>
    <t xml:space="preserve">Février </t>
  </si>
  <si>
    <t xml:space="preserve">Mars </t>
  </si>
  <si>
    <t xml:space="preserve">Avril </t>
  </si>
  <si>
    <t xml:space="preserve">En cas de temps partiel et en présence d'heures complémentaires </t>
  </si>
  <si>
    <t xml:space="preserve">Salaire de base </t>
  </si>
  <si>
    <t>Heures complémentaires</t>
  </si>
  <si>
    <t>T : Entreprises - 50 salariés</t>
  </si>
  <si>
    <t xml:space="preserve">T : Entreprises de 50 ou + de 50 salariés </t>
  </si>
  <si>
    <t>SMIC Horaire 01/05/2023</t>
  </si>
  <si>
    <t>SMIC Horaire 01/01/2024</t>
  </si>
  <si>
    <t xml:space="preserve">Salaire brut Habituel (Hors prime) </t>
  </si>
  <si>
    <t xml:space="preserve">Prime impactée par l'absence </t>
  </si>
  <si>
    <t xml:space="preserve">Prime non impactée par l'absence </t>
  </si>
  <si>
    <t xml:space="preserve">Heures contractuelles </t>
  </si>
  <si>
    <t xml:space="preserve">Heures supplémentaires </t>
  </si>
  <si>
    <t xml:space="preserve">Entreprises  de + de 50 salariés </t>
  </si>
  <si>
    <r>
      <rPr>
        <b/>
        <sz val="11"/>
        <color theme="1"/>
        <rFont val="Calibri"/>
        <family val="2"/>
        <scheme val="minor"/>
      </rPr>
      <t xml:space="preserve">Coefficient </t>
    </r>
    <r>
      <rPr>
        <sz val="11"/>
        <color theme="1"/>
        <rFont val="Calibri"/>
        <family val="2"/>
        <scheme val="minor"/>
      </rPr>
      <t xml:space="preserve">  
   D = C *T/0,6</t>
    </r>
  </si>
  <si>
    <t>SMIC Horaire 01/05</t>
  </si>
  <si>
    <t>Limite de 1,6 SMIC</t>
  </si>
  <si>
    <t xml:space="preserve">Nombre de salariés </t>
  </si>
  <si>
    <t xml:space="preserve">Entreprises de  + de 50 salariés </t>
  </si>
  <si>
    <t xml:space="preserve">Entreprises de moins de + de 50 salariés </t>
  </si>
  <si>
    <t xml:space="preserve">Mois </t>
  </si>
  <si>
    <t xml:space="preserve">Entreprises de moins de  50 salariés </t>
  </si>
  <si>
    <t>Si le salarié avait été présent tout le mois il aurait perçu 1800 + 200</t>
  </si>
  <si>
    <t>151,67 * 1602,88/(1800+200)</t>
  </si>
  <si>
    <t>Heures supplémentaires /  Heures Compl</t>
  </si>
  <si>
    <r>
      <rPr>
        <b/>
        <sz val="11"/>
        <color theme="1"/>
        <rFont val="Times New Roman"/>
        <family val="1"/>
      </rPr>
      <t xml:space="preserve">Coefficient </t>
    </r>
    <r>
      <rPr>
        <sz val="11"/>
        <color theme="1"/>
        <rFont val="Times New Roman"/>
        <family val="1"/>
      </rPr>
      <t xml:space="preserve">  Cumulé
   D = C *T/0,6</t>
    </r>
  </si>
  <si>
    <t xml:space="preserve">Nombre d'heures URSSAF </t>
  </si>
  <si>
    <t>Une fois sa prime proratisée et compte tenu de son absence il a perçu 1602;88</t>
  </si>
  <si>
    <t>NB.</t>
  </si>
  <si>
    <t xml:space="preserve">Sur le BP </t>
  </si>
  <si>
    <t xml:space="preserve">dans la rubrique </t>
  </si>
  <si>
    <t xml:space="preserve">Exonérations et allègements de cotisations </t>
  </si>
  <si>
    <t xml:space="preserve">La réduction apparaîtra avec un signe inverse de celui figurant sur ce tableau </t>
  </si>
  <si>
    <t xml:space="preserve">Allégements de cotisations employeur </t>
  </si>
  <si>
    <t xml:space="preserve">La réduction apparaîtra avec le même signe que celui figurant sur ce tableau </t>
  </si>
  <si>
    <t xml:space="preserve">Ceci est vrai pour l'ensemble des exercices qui suivent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</si>
</sst>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charset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8"/>
      <name val="Times New Roman"/>
      <family val="1"/>
    </font>
    <font>
      <b/>
      <u/>
      <sz val="11"/>
      <color theme="1"/>
      <name val="Times New Roman"/>
      <family val="1"/>
    </font>
    <font>
      <sz val="8"/>
      <color theme="1"/>
      <name val="Times New Roman"/>
      <family val="1"/>
    </font>
    <font>
      <b/>
      <sz val="9"/>
      <color theme="1"/>
      <name val="Times New Roman"/>
      <family val="1"/>
    </font>
    <font>
      <b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2">
    <xf numFmtId="0" fontId="0" fillId="0" borderId="0" xfId="0"/>
    <xf numFmtId="0" fontId="3" fillId="0" borderId="0" xfId="0" applyFont="1"/>
    <xf numFmtId="0" fontId="0" fillId="0" borderId="1" xfId="0" applyBorder="1" applyAlignment="1">
      <alignment horizontal="center" vertical="center" wrapText="1"/>
    </xf>
    <xf numFmtId="2" fontId="0" fillId="0" borderId="9" xfId="0" applyNumberFormat="1" applyBorder="1"/>
    <xf numFmtId="165" fontId="0" fillId="0" borderId="9" xfId="0" applyNumberFormat="1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4" fillId="0" borderId="9" xfId="0" applyFont="1" applyBorder="1" applyAlignment="1">
      <alignment horizontal="left"/>
    </xf>
    <xf numFmtId="4" fontId="0" fillId="0" borderId="0" xfId="0" applyNumberFormat="1"/>
    <xf numFmtId="2" fontId="0" fillId="0" borderId="1" xfId="0" applyNumberFormat="1" applyBorder="1"/>
    <xf numFmtId="2" fontId="0" fillId="0" borderId="0" xfId="0" applyNumberFormat="1"/>
    <xf numFmtId="165" fontId="0" fillId="0" borderId="1" xfId="0" applyNumberFormat="1" applyBorder="1"/>
    <xf numFmtId="0" fontId="5" fillId="0" borderId="0" xfId="0" applyFont="1"/>
    <xf numFmtId="164" fontId="5" fillId="0" borderId="0" xfId="1" applyFont="1"/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64" fontId="5" fillId="2" borderId="1" xfId="1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horizontal="left"/>
    </xf>
    <xf numFmtId="0" fontId="4" fillId="0" borderId="9" xfId="0" applyFont="1" applyBorder="1" applyAlignment="1">
      <alignment horizontal="left" vertical="center"/>
    </xf>
    <xf numFmtId="165" fontId="0" fillId="0" borderId="17" xfId="0" applyNumberFormat="1" applyBorder="1" applyAlignment="1">
      <alignment horizontal="center"/>
    </xf>
    <xf numFmtId="164" fontId="5" fillId="0" borderId="1" xfId="0" applyNumberFormat="1" applyFont="1" applyBorder="1"/>
    <xf numFmtId="164" fontId="5" fillId="0" borderId="1" xfId="1" applyFont="1" applyBorder="1" applyAlignment="1">
      <alignment horizontal="center"/>
    </xf>
    <xf numFmtId="0" fontId="5" fillId="0" borderId="6" xfId="0" applyFont="1" applyBorder="1" applyAlignment="1">
      <alignment horizontal="left"/>
    </xf>
    <xf numFmtId="0" fontId="9" fillId="0" borderId="0" xfId="0" applyFont="1"/>
    <xf numFmtId="4" fontId="5" fillId="0" borderId="1" xfId="0" applyNumberFormat="1" applyFont="1" applyBorder="1"/>
    <xf numFmtId="4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/>
    <xf numFmtId="165" fontId="5" fillId="0" borderId="1" xfId="0" applyNumberFormat="1" applyFont="1" applyBorder="1"/>
    <xf numFmtId="4" fontId="5" fillId="0" borderId="0" xfId="0" applyNumberFormat="1" applyFont="1" applyAlignment="1">
      <alignment horizontal="center"/>
    </xf>
    <xf numFmtId="4" fontId="5" fillId="0" borderId="0" xfId="0" applyNumberFormat="1" applyFont="1"/>
    <xf numFmtId="165" fontId="0" fillId="0" borderId="0" xfId="0" applyNumberFormat="1"/>
    <xf numFmtId="164" fontId="5" fillId="0" borderId="1" xfId="1" applyFont="1" applyBorder="1"/>
    <xf numFmtId="2" fontId="5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5" fillId="0" borderId="9" xfId="0" applyNumberFormat="1" applyFont="1" applyBorder="1"/>
    <xf numFmtId="165" fontId="5" fillId="0" borderId="9" xfId="0" applyNumberFormat="1" applyFont="1" applyBorder="1"/>
    <xf numFmtId="4" fontId="5" fillId="0" borderId="9" xfId="0" applyNumberFormat="1" applyFont="1" applyBorder="1"/>
    <xf numFmtId="0" fontId="5" fillId="0" borderId="9" xfId="0" applyFont="1" applyBorder="1"/>
    <xf numFmtId="0" fontId="8" fillId="0" borderId="9" xfId="0" applyFont="1" applyBorder="1" applyAlignment="1">
      <alignment horizontal="left"/>
    </xf>
    <xf numFmtId="4" fontId="5" fillId="0" borderId="18" xfId="0" applyNumberFormat="1" applyFont="1" applyBorder="1"/>
    <xf numFmtId="0" fontId="5" fillId="0" borderId="9" xfId="0" applyFont="1" applyBorder="1" applyAlignment="1">
      <alignment horizontal="center"/>
    </xf>
    <xf numFmtId="165" fontId="5" fillId="0" borderId="17" xfId="0" applyNumberFormat="1" applyFont="1" applyBorder="1" applyAlignment="1">
      <alignment horizontal="center"/>
    </xf>
    <xf numFmtId="165" fontId="5" fillId="0" borderId="17" xfId="0" applyNumberFormat="1" applyFont="1" applyBorder="1"/>
    <xf numFmtId="0" fontId="5" fillId="0" borderId="0" xfId="0" applyFont="1" applyAlignment="1">
      <alignment horizontal="center" vertical="center" wrapText="1"/>
    </xf>
    <xf numFmtId="2" fontId="5" fillId="0" borderId="0" xfId="0" applyNumberFormat="1" applyFont="1"/>
    <xf numFmtId="0" fontId="5" fillId="2" borderId="1" xfId="0" applyFont="1" applyFill="1" applyBorder="1"/>
    <xf numFmtId="4" fontId="5" fillId="2" borderId="9" xfId="0" applyNumberFormat="1" applyFont="1" applyFill="1" applyBorder="1"/>
    <xf numFmtId="4" fontId="5" fillId="2" borderId="18" xfId="0" applyNumberFormat="1" applyFont="1" applyFill="1" applyBorder="1"/>
    <xf numFmtId="0" fontId="0" fillId="2" borderId="0" xfId="0" applyFill="1"/>
    <xf numFmtId="164" fontId="5" fillId="2" borderId="0" xfId="1" applyFont="1" applyFill="1"/>
    <xf numFmtId="0" fontId="5" fillId="2" borderId="0" xfId="0" applyFont="1" applyFill="1"/>
    <xf numFmtId="14" fontId="5" fillId="0" borderId="0" xfId="0" applyNumberFormat="1" applyFont="1"/>
    <xf numFmtId="0" fontId="5" fillId="0" borderId="21" xfId="0" applyFont="1" applyBorder="1"/>
    <xf numFmtId="0" fontId="5" fillId="0" borderId="2" xfId="0" applyFont="1" applyBorder="1"/>
    <xf numFmtId="164" fontId="5" fillId="0" borderId="4" xfId="0" applyNumberFormat="1" applyFont="1" applyBorder="1"/>
    <xf numFmtId="0" fontId="5" fillId="0" borderId="21" xfId="0" applyFont="1" applyBorder="1" applyAlignment="1">
      <alignment horizontal="center"/>
    </xf>
    <xf numFmtId="4" fontId="0" fillId="2" borderId="9" xfId="0" applyNumberFormat="1" applyFill="1" applyBorder="1"/>
    <xf numFmtId="4" fontId="0" fillId="2" borderId="18" xfId="0" applyNumberFormat="1" applyFill="1" applyBorder="1"/>
    <xf numFmtId="4" fontId="0" fillId="2" borderId="1" xfId="0" applyNumberFormat="1" applyFill="1" applyBorder="1"/>
    <xf numFmtId="4" fontId="5" fillId="2" borderId="1" xfId="0" applyNumberFormat="1" applyFont="1" applyFill="1" applyBorder="1" applyAlignment="1">
      <alignment horizontal="center"/>
    </xf>
    <xf numFmtId="164" fontId="5" fillId="0" borderId="21" xfId="0" applyNumberFormat="1" applyFont="1" applyBorder="1"/>
    <xf numFmtId="4" fontId="5" fillId="0" borderId="21" xfId="0" applyNumberFormat="1" applyFont="1" applyBorder="1"/>
    <xf numFmtId="164" fontId="5" fillId="2" borderId="21" xfId="1" applyFont="1" applyFill="1" applyBorder="1"/>
    <xf numFmtId="0" fontId="5" fillId="2" borderId="21" xfId="0" applyFont="1" applyFill="1" applyBorder="1"/>
    <xf numFmtId="0" fontId="0" fillId="2" borderId="21" xfId="0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64" fontId="5" fillId="2" borderId="1" xfId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vertical="center"/>
    </xf>
    <xf numFmtId="164" fontId="0" fillId="0" borderId="1" xfId="0" applyNumberForma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7" fillId="3" borderId="5" xfId="1" applyFont="1" applyFill="1" applyBorder="1" applyAlignment="1">
      <alignment horizontal="center" vertical="center" wrapText="1"/>
    </xf>
    <xf numFmtId="164" fontId="7" fillId="3" borderId="0" xfId="1" applyFont="1" applyFill="1" applyBorder="1" applyAlignment="1">
      <alignment horizontal="center" vertical="center" wrapText="1"/>
    </xf>
    <xf numFmtId="164" fontId="7" fillId="3" borderId="7" xfId="1" applyFont="1" applyFill="1" applyBorder="1" applyAlignment="1">
      <alignment horizontal="center" vertical="center" wrapText="1"/>
    </xf>
    <xf numFmtId="164" fontId="7" fillId="3" borderId="15" xfId="1" applyFont="1" applyFill="1" applyBorder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64" fontId="5" fillId="0" borderId="5" xfId="1" applyFont="1" applyBorder="1" applyAlignment="1">
      <alignment horizontal="center" vertical="center" wrapText="1"/>
    </xf>
    <xf numFmtId="164" fontId="5" fillId="0" borderId="6" xfId="1" applyFont="1" applyBorder="1" applyAlignment="1">
      <alignment horizontal="center" vertical="center" wrapText="1"/>
    </xf>
    <xf numFmtId="164" fontId="5" fillId="0" borderId="7" xfId="1" applyFont="1" applyBorder="1" applyAlignment="1">
      <alignment horizontal="center" vertical="center" wrapText="1"/>
    </xf>
    <xf numFmtId="164" fontId="5" fillId="0" borderId="8" xfId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8" fillId="0" borderId="1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1695450</xdr:colOff>
      <xdr:row>19</xdr:row>
      <xdr:rowOff>76200</xdr:rowOff>
    </xdr:from>
    <xdr:to>
      <xdr:col>1</xdr:col>
      <xdr:colOff>2171700</xdr:colOff>
      <xdr:row>25</xdr:row>
      <xdr:rowOff>57150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011015C0-A9E0-D258-F50E-5C8B2F207296}"/>
            </a:ext>
          </a:extLst>
        </xdr:cNvPr>
        <xdr:cNvCxnSpPr/>
      </xdr:nvCxnSpPr>
      <xdr:spPr>
        <a:xfrm flipH="1" flipV="1">
          <a:off x="2457450" y="3695700"/>
          <a:ext cx="476250" cy="11239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D72B2-0D84-4518-8EE3-AAFADD051F7F}">
  <dimension ref="A1:M22"/>
  <sheetViews>
    <sheetView topLeftCell="A11" workbookViewId="0">
      <selection activeCell="I21" sqref="I21:J22"/>
    </sheetView>
  </sheetViews>
  <sheetFormatPr baseColWidth="10" defaultColWidth="11.44140625" defaultRowHeight="13.8" x14ac:dyDescent="0.25"/>
  <cols>
    <col min="1" max="1" width="6" style="12" customWidth="1"/>
    <col min="2" max="8" width="13.88671875" style="12" customWidth="1"/>
    <col min="9" max="10" width="8.44140625" style="12" customWidth="1"/>
    <col min="11" max="11" width="4.5546875" style="12" customWidth="1"/>
    <col min="12" max="16384" width="11.44140625" style="12"/>
  </cols>
  <sheetData>
    <row r="1" spans="1:13" x14ac:dyDescent="0.25">
      <c r="B1" s="17" t="s">
        <v>0</v>
      </c>
      <c r="C1" s="17" t="s">
        <v>1</v>
      </c>
      <c r="D1" s="17" t="s">
        <v>2</v>
      </c>
      <c r="E1" s="17" t="s">
        <v>3</v>
      </c>
      <c r="F1" s="17" t="s">
        <v>4</v>
      </c>
      <c r="G1" s="17" t="s">
        <v>5</v>
      </c>
      <c r="H1" s="17" t="s">
        <v>6</v>
      </c>
      <c r="I1" s="17" t="s">
        <v>7</v>
      </c>
      <c r="J1" s="17" t="s">
        <v>8</v>
      </c>
      <c r="K1" s="15">
        <v>1</v>
      </c>
    </row>
    <row r="2" spans="1:13" x14ac:dyDescent="0.25">
      <c r="B2" s="96" t="s">
        <v>9</v>
      </c>
      <c r="C2" s="96"/>
      <c r="D2" s="96"/>
      <c r="E2" s="20">
        <v>0.31940000000000002</v>
      </c>
      <c r="F2" s="19" t="s">
        <v>10</v>
      </c>
      <c r="K2" s="15">
        <v>2</v>
      </c>
    </row>
    <row r="3" spans="1:13" x14ac:dyDescent="0.25">
      <c r="B3" s="95" t="s">
        <v>11</v>
      </c>
      <c r="C3" s="95"/>
      <c r="D3" s="95"/>
      <c r="E3" s="21">
        <v>0.32340000000000002</v>
      </c>
      <c r="F3" s="17" t="s">
        <v>10</v>
      </c>
      <c r="K3" s="15">
        <v>3</v>
      </c>
    </row>
    <row r="4" spans="1:13" x14ac:dyDescent="0.25">
      <c r="B4" s="95" t="s">
        <v>12</v>
      </c>
      <c r="C4" s="95"/>
      <c r="D4" s="95"/>
      <c r="E4" s="22">
        <v>60</v>
      </c>
      <c r="F4" s="18"/>
      <c r="K4" s="15">
        <v>4</v>
      </c>
      <c r="M4" s="12" t="s">
        <v>13</v>
      </c>
    </row>
    <row r="5" spans="1:13" x14ac:dyDescent="0.25">
      <c r="B5" s="95" t="s">
        <v>14</v>
      </c>
      <c r="C5" s="95"/>
      <c r="D5" s="95"/>
      <c r="E5" s="22">
        <v>11.65</v>
      </c>
      <c r="F5" s="18"/>
      <c r="K5" s="15">
        <v>5</v>
      </c>
    </row>
    <row r="6" spans="1:13" x14ac:dyDescent="0.25">
      <c r="B6" s="95" t="s">
        <v>15</v>
      </c>
      <c r="C6" s="95"/>
      <c r="D6" s="95"/>
      <c r="E6" s="22">
        <v>151.66999999999999</v>
      </c>
      <c r="F6" s="18"/>
      <c r="K6" s="15">
        <v>6</v>
      </c>
    </row>
    <row r="7" spans="1:13" x14ac:dyDescent="0.25">
      <c r="B7" s="97" t="s">
        <v>16</v>
      </c>
      <c r="C7" s="97"/>
      <c r="D7" s="97"/>
      <c r="E7" s="23">
        <v>2100</v>
      </c>
      <c r="K7" s="15">
        <v>7</v>
      </c>
    </row>
    <row r="8" spans="1:13" ht="30.75" customHeight="1" x14ac:dyDescent="0.25">
      <c r="B8" s="85" t="s">
        <v>17</v>
      </c>
      <c r="C8" s="85"/>
      <c r="D8" s="85"/>
      <c r="E8" s="85"/>
      <c r="F8" s="85"/>
      <c r="G8" s="85"/>
      <c r="H8" s="85"/>
      <c r="I8" s="85"/>
      <c r="J8" s="86"/>
      <c r="K8" s="15">
        <v>8</v>
      </c>
    </row>
    <row r="9" spans="1:13" ht="30.75" customHeight="1" x14ac:dyDescent="0.25">
      <c r="A9" s="16"/>
      <c r="B9" s="94" t="s">
        <v>16</v>
      </c>
      <c r="C9" s="94" t="s">
        <v>18</v>
      </c>
      <c r="D9" s="94" t="s">
        <v>19</v>
      </c>
      <c r="E9" s="15" t="s">
        <v>20</v>
      </c>
      <c r="F9" s="85" t="s">
        <v>21</v>
      </c>
      <c r="G9" s="85" t="s">
        <v>22</v>
      </c>
      <c r="H9" s="85" t="s">
        <v>23</v>
      </c>
      <c r="I9" s="85" t="s">
        <v>24</v>
      </c>
      <c r="J9" s="86"/>
      <c r="K9" s="15">
        <v>9</v>
      </c>
    </row>
    <row r="10" spans="1:13" ht="30.75" customHeight="1" x14ac:dyDescent="0.25">
      <c r="B10" s="87"/>
      <c r="C10" s="87"/>
      <c r="D10" s="87"/>
      <c r="E10" s="87" t="s">
        <v>25</v>
      </c>
      <c r="F10" s="85"/>
      <c r="G10" s="85"/>
      <c r="H10" s="85"/>
      <c r="I10" s="85"/>
      <c r="J10" s="86"/>
      <c r="K10" s="15">
        <v>10</v>
      </c>
    </row>
    <row r="11" spans="1:13" ht="30.75" customHeight="1" x14ac:dyDescent="0.25">
      <c r="B11" s="88"/>
      <c r="C11" s="88"/>
      <c r="D11" s="88"/>
      <c r="E11" s="88"/>
      <c r="F11" s="85"/>
      <c r="G11" s="85"/>
      <c r="H11" s="85"/>
      <c r="I11" s="85"/>
      <c r="J11" s="86"/>
      <c r="K11" s="15">
        <v>11</v>
      </c>
    </row>
    <row r="12" spans="1:13" ht="30.75" customHeight="1" x14ac:dyDescent="0.25">
      <c r="B12" s="87">
        <f>E7</f>
        <v>2100</v>
      </c>
      <c r="C12" s="87">
        <f>E6</f>
        <v>151.66999999999999</v>
      </c>
      <c r="D12" s="87">
        <f>E5</f>
        <v>11.65</v>
      </c>
      <c r="E12" s="87">
        <f>1.6*D12*C12</f>
        <v>2827.1288</v>
      </c>
      <c r="F12" s="87">
        <f>E12/B12</f>
        <v>1.3462518095238094</v>
      </c>
      <c r="G12" s="87">
        <f>IF(F12&lt;=1,0,F12-1)</f>
        <v>0.34625180952380941</v>
      </c>
      <c r="H12" s="93">
        <f>ROUND(IF(E4&lt;50,E2*G12/0.6,E3*G12/0.6),4)</f>
        <v>0.18659999999999999</v>
      </c>
      <c r="I12" s="89">
        <f>ROUND(H12*B12,2)</f>
        <v>391.86</v>
      </c>
      <c r="J12" s="90"/>
      <c r="K12" s="15">
        <v>12</v>
      </c>
    </row>
    <row r="13" spans="1:13" ht="30.75" customHeight="1" x14ac:dyDescent="0.25">
      <c r="B13" s="88"/>
      <c r="C13" s="88"/>
      <c r="D13" s="88"/>
      <c r="E13" s="88"/>
      <c r="F13" s="88"/>
      <c r="G13" s="88"/>
      <c r="H13" s="88"/>
      <c r="I13" s="91"/>
      <c r="J13" s="92"/>
      <c r="K13" s="15">
        <v>13</v>
      </c>
    </row>
    <row r="14" spans="1:13" x14ac:dyDescent="0.25">
      <c r="K14" s="15">
        <v>11</v>
      </c>
    </row>
    <row r="15" spans="1:13" x14ac:dyDescent="0.25">
      <c r="K15" s="15">
        <v>12</v>
      </c>
    </row>
    <row r="16" spans="1:13" x14ac:dyDescent="0.25">
      <c r="K16" s="15">
        <v>13</v>
      </c>
    </row>
    <row r="17" spans="1:11" ht="27.75" customHeight="1" x14ac:dyDescent="0.25">
      <c r="B17" s="85" t="s">
        <v>26</v>
      </c>
      <c r="C17" s="85"/>
      <c r="D17" s="85"/>
      <c r="E17" s="85"/>
      <c r="F17" s="85"/>
      <c r="G17" s="85"/>
      <c r="H17" s="85"/>
      <c r="I17" s="85"/>
      <c r="J17" s="86"/>
      <c r="K17" s="15">
        <v>14</v>
      </c>
    </row>
    <row r="18" spans="1:11" ht="29.25" customHeight="1" x14ac:dyDescent="0.25">
      <c r="A18" s="16"/>
      <c r="B18" s="94" t="s">
        <v>16</v>
      </c>
      <c r="C18" s="94" t="s">
        <v>18</v>
      </c>
      <c r="D18" s="94" t="s">
        <v>19</v>
      </c>
      <c r="E18" s="15" t="s">
        <v>20</v>
      </c>
      <c r="F18" s="85" t="s">
        <v>21</v>
      </c>
      <c r="G18" s="85" t="s">
        <v>22</v>
      </c>
      <c r="H18" s="85" t="s">
        <v>23</v>
      </c>
      <c r="I18" s="85" t="s">
        <v>27</v>
      </c>
      <c r="J18" s="86"/>
      <c r="K18" s="15">
        <v>15</v>
      </c>
    </row>
    <row r="19" spans="1:11" ht="29.25" customHeight="1" x14ac:dyDescent="0.25">
      <c r="B19" s="87"/>
      <c r="C19" s="87"/>
      <c r="D19" s="87"/>
      <c r="E19" s="87" t="s">
        <v>25</v>
      </c>
      <c r="F19" s="85"/>
      <c r="G19" s="85"/>
      <c r="H19" s="85"/>
      <c r="I19" s="85"/>
      <c r="J19" s="86"/>
      <c r="K19" s="15">
        <v>16</v>
      </c>
    </row>
    <row r="20" spans="1:11" ht="29.25" customHeight="1" x14ac:dyDescent="0.25">
      <c r="B20" s="88"/>
      <c r="C20" s="88"/>
      <c r="D20" s="88"/>
      <c r="E20" s="88"/>
      <c r="F20" s="85"/>
      <c r="G20" s="85"/>
      <c r="H20" s="85"/>
      <c r="I20" s="85"/>
      <c r="J20" s="86"/>
      <c r="K20" s="15">
        <v>17</v>
      </c>
    </row>
    <row r="21" spans="1:11" ht="29.25" customHeight="1" x14ac:dyDescent="0.25">
      <c r="B21" s="87">
        <f>B12</f>
        <v>2100</v>
      </c>
      <c r="C21" s="87">
        <v>151.66999999999999</v>
      </c>
      <c r="D21" s="87">
        <v>11.52</v>
      </c>
      <c r="E21" s="87">
        <f>1.6*D21*C21</f>
        <v>2795.5814399999995</v>
      </c>
      <c r="F21" s="87">
        <f>E21/B21</f>
        <v>1.331229257142857</v>
      </c>
      <c r="G21" s="87">
        <f>IF(F21&lt;=1,0,F21-1)</f>
        <v>0.331229257142857</v>
      </c>
      <c r="H21" s="87">
        <f>ROUND(E3*G21/0.6,4)</f>
        <v>0.17849999999999999</v>
      </c>
      <c r="I21" s="89">
        <f>ROUND(H21*B21,2)</f>
        <v>374.85</v>
      </c>
      <c r="J21" s="90"/>
      <c r="K21" s="15">
        <v>18</v>
      </c>
    </row>
    <row r="22" spans="1:11" ht="29.25" customHeight="1" x14ac:dyDescent="0.25">
      <c r="B22" s="88"/>
      <c r="C22" s="88"/>
      <c r="D22" s="88"/>
      <c r="E22" s="88"/>
      <c r="F22" s="88"/>
      <c r="G22" s="88"/>
      <c r="H22" s="88"/>
      <c r="I22" s="91"/>
      <c r="J22" s="92"/>
      <c r="K22" s="15">
        <v>19</v>
      </c>
    </row>
  </sheetData>
  <mergeCells count="40">
    <mergeCell ref="H18:H20"/>
    <mergeCell ref="B2:D2"/>
    <mergeCell ref="B7:D7"/>
    <mergeCell ref="H21:H22"/>
    <mergeCell ref="D18:D20"/>
    <mergeCell ref="F18:F20"/>
    <mergeCell ref="G18:G20"/>
    <mergeCell ref="H9:H11"/>
    <mergeCell ref="I21:J22"/>
    <mergeCell ref="B6:D6"/>
    <mergeCell ref="B5:D5"/>
    <mergeCell ref="B4:D4"/>
    <mergeCell ref="B3:D3"/>
    <mergeCell ref="B21:B22"/>
    <mergeCell ref="C21:C22"/>
    <mergeCell ref="D21:D22"/>
    <mergeCell ref="E21:E22"/>
    <mergeCell ref="F21:F22"/>
    <mergeCell ref="G21:G22"/>
    <mergeCell ref="B17:J17"/>
    <mergeCell ref="C9:C11"/>
    <mergeCell ref="D9:D11"/>
    <mergeCell ref="G9:G11"/>
    <mergeCell ref="C18:C20"/>
    <mergeCell ref="I18:J20"/>
    <mergeCell ref="E19:E20"/>
    <mergeCell ref="B8:J8"/>
    <mergeCell ref="F9:F11"/>
    <mergeCell ref="I9:J11"/>
    <mergeCell ref="E10:E11"/>
    <mergeCell ref="C12:C13"/>
    <mergeCell ref="I12:J13"/>
    <mergeCell ref="B12:B13"/>
    <mergeCell ref="D12:D13"/>
    <mergeCell ref="E12:E13"/>
    <mergeCell ref="F12:F13"/>
    <mergeCell ref="G12:G13"/>
    <mergeCell ref="H12:H13"/>
    <mergeCell ref="B9:B11"/>
    <mergeCell ref="B18:B20"/>
  </mergeCells>
  <printOptions horizontalCentered="1" verticalCentered="1"/>
  <pageMargins left="0.11811023622047245" right="0.11811023622047245" top="0.74803149606299213" bottom="0.74803149606299213" header="0.31496062992125984" footer="0.31496062992125984"/>
  <pageSetup paperSize="9" scale="80" orientation="landscape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39D73-5DF3-41B8-A508-3D5A220946E7}">
  <dimension ref="A3:N19"/>
  <sheetViews>
    <sheetView topLeftCell="A2" workbookViewId="0">
      <selection activeCell="A16" sqref="A16:XFD20"/>
    </sheetView>
  </sheetViews>
  <sheetFormatPr baseColWidth="10" defaultColWidth="11.44140625" defaultRowHeight="14.4" x14ac:dyDescent="0.3"/>
  <cols>
    <col min="1" max="1" width="4.33203125" customWidth="1"/>
    <col min="8" max="8" width="17.6640625" customWidth="1"/>
    <col min="14" max="14" width="13.6640625" customWidth="1"/>
  </cols>
  <sheetData>
    <row r="3" spans="1:14" x14ac:dyDescent="0.3">
      <c r="A3" s="12"/>
      <c r="B3" s="32" t="s">
        <v>97</v>
      </c>
      <c r="C3" s="12"/>
      <c r="D3" s="12" t="s">
        <v>99</v>
      </c>
      <c r="E3" s="12"/>
      <c r="F3" s="12"/>
      <c r="G3" s="12"/>
      <c r="H3" s="12"/>
      <c r="I3" s="12"/>
      <c r="J3" s="12"/>
    </row>
    <row r="4" spans="1:14" x14ac:dyDescent="0.3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4" x14ac:dyDescent="0.3">
      <c r="A5" s="12"/>
      <c r="B5" s="12" t="s">
        <v>98</v>
      </c>
      <c r="C5" s="12"/>
      <c r="D5" s="12"/>
      <c r="E5" s="12"/>
      <c r="F5" s="12"/>
      <c r="H5" s="12"/>
      <c r="I5" s="12"/>
      <c r="J5" s="12"/>
    </row>
    <row r="6" spans="1:14" ht="15" customHeight="1" x14ac:dyDescent="0.3">
      <c r="A6" s="12"/>
      <c r="B6" s="12"/>
      <c r="C6" s="12"/>
      <c r="D6" s="12"/>
      <c r="E6" s="12"/>
      <c r="F6" s="12"/>
      <c r="G6" s="12"/>
      <c r="H6" s="12"/>
      <c r="I6" s="12"/>
      <c r="J6" s="12"/>
    </row>
    <row r="7" spans="1:14" ht="30.75" customHeight="1" x14ac:dyDescent="0.3">
      <c r="A7" s="12"/>
      <c r="B7" s="85" t="s">
        <v>100</v>
      </c>
      <c r="C7" s="85" t="s">
        <v>101</v>
      </c>
      <c r="D7" s="85" t="s">
        <v>102</v>
      </c>
      <c r="E7" s="85" t="s">
        <v>103</v>
      </c>
      <c r="F7" s="85" t="s">
        <v>104</v>
      </c>
      <c r="G7" s="94" t="s">
        <v>19</v>
      </c>
      <c r="H7" s="15" t="s">
        <v>20</v>
      </c>
      <c r="I7" s="94" t="s">
        <v>105</v>
      </c>
      <c r="J7" s="94" t="s">
        <v>22</v>
      </c>
      <c r="K7" s="94" t="s">
        <v>138</v>
      </c>
      <c r="L7" s="147" t="s">
        <v>107</v>
      </c>
      <c r="M7" s="148"/>
      <c r="N7" s="85" t="s">
        <v>108</v>
      </c>
    </row>
    <row r="8" spans="1:14" ht="35.25" customHeight="1" x14ac:dyDescent="0.3">
      <c r="A8" s="12"/>
      <c r="B8" s="85"/>
      <c r="C8" s="85"/>
      <c r="D8" s="85"/>
      <c r="E8" s="85"/>
      <c r="F8" s="85"/>
      <c r="G8" s="87"/>
      <c r="H8" s="122" t="s">
        <v>109</v>
      </c>
      <c r="I8" s="87"/>
      <c r="J8" s="87"/>
      <c r="K8" s="87"/>
      <c r="L8" s="104"/>
      <c r="M8" s="105"/>
      <c r="N8" s="85"/>
    </row>
    <row r="9" spans="1:14" x14ac:dyDescent="0.3">
      <c r="A9" s="12"/>
      <c r="B9" s="12"/>
      <c r="C9" s="12"/>
      <c r="D9" s="12"/>
      <c r="E9" s="12"/>
      <c r="F9" s="12"/>
      <c r="G9" s="88"/>
      <c r="H9" s="112"/>
      <c r="I9" s="88"/>
      <c r="J9" s="88"/>
      <c r="K9" s="88"/>
      <c r="L9" s="106"/>
      <c r="M9" s="107"/>
      <c r="N9" s="85"/>
    </row>
    <row r="10" spans="1:14" ht="35.25" customHeight="1" x14ac:dyDescent="0.3">
      <c r="A10" s="12"/>
      <c r="B10" s="15" t="s">
        <v>110</v>
      </c>
      <c r="C10" s="77">
        <v>151.66999999999999</v>
      </c>
      <c r="D10" s="78">
        <f>C10</f>
        <v>151.66999999999999</v>
      </c>
      <c r="E10" s="79">
        <v>1800</v>
      </c>
      <c r="F10" s="80">
        <f>E10</f>
        <v>1800</v>
      </c>
      <c r="G10" s="81">
        <f>'Application 7 Corrigé '!D5</f>
        <v>11.65</v>
      </c>
      <c r="H10" s="81">
        <f>1.6*G10*D10</f>
        <v>2827.1288</v>
      </c>
      <c r="I10" s="82">
        <f>H10/F10</f>
        <v>1.5706271111111112</v>
      </c>
      <c r="J10" s="82">
        <f>I10-1</f>
        <v>0.5706271111111112</v>
      </c>
      <c r="K10" s="83">
        <f>ROUND(J10*'Application 7 Corrigé '!$D$3/0.6,4)</f>
        <v>0.30759999999999998</v>
      </c>
      <c r="L10" s="168">
        <f>ROUND(K10*F10,2)</f>
        <v>553.67999999999995</v>
      </c>
      <c r="M10" s="169"/>
      <c r="N10" s="170">
        <f>L10</f>
        <v>553.67999999999995</v>
      </c>
    </row>
    <row r="11" spans="1:14" ht="35.25" customHeight="1" x14ac:dyDescent="0.3">
      <c r="A11" s="12"/>
      <c r="B11" s="15" t="s">
        <v>111</v>
      </c>
      <c r="C11" s="77">
        <f>'ENONCE 1 '!B163</f>
        <v>94.7</v>
      </c>
      <c r="D11" s="78">
        <f>D10+C11</f>
        <v>246.37</v>
      </c>
      <c r="E11" s="79">
        <f>'ENONCE 1 '!D163</f>
        <v>1602.8767123287671</v>
      </c>
      <c r="F11" s="84">
        <f>F10+E11</f>
        <v>3402.8767123287671</v>
      </c>
      <c r="G11" s="81">
        <f>G10</f>
        <v>11.65</v>
      </c>
      <c r="H11" s="81">
        <f t="shared" ref="H11:H13" si="0">1.6*G11*D11</f>
        <v>4592.3368</v>
      </c>
      <c r="I11" s="82">
        <f t="shared" ref="I11:I13" si="1">H11/F11</f>
        <v>1.3495454546918402</v>
      </c>
      <c r="J11" s="82">
        <f t="shared" ref="J11:J13" si="2">I11-1</f>
        <v>0.34954545469184017</v>
      </c>
      <c r="K11" s="83">
        <f>ROUND(J11*'Application 7 Corrigé '!$D$3/0.6,4)</f>
        <v>0.18840000000000001</v>
      </c>
      <c r="L11" s="168">
        <f t="shared" ref="L11:L13" si="3">ROUND(K11*F11,2)</f>
        <v>641.1</v>
      </c>
      <c r="M11" s="169"/>
      <c r="N11" s="170">
        <f>L11-L10</f>
        <v>87.420000000000073</v>
      </c>
    </row>
    <row r="12" spans="1:14" ht="35.25" customHeight="1" x14ac:dyDescent="0.3">
      <c r="A12" s="12"/>
      <c r="B12" s="15" t="s">
        <v>112</v>
      </c>
      <c r="C12" s="77">
        <v>96.3</v>
      </c>
      <c r="D12" s="78">
        <f t="shared" ref="D12:D13" si="4">D11+C12</f>
        <v>342.67</v>
      </c>
      <c r="E12" s="79">
        <v>1830.41</v>
      </c>
      <c r="F12" s="84">
        <f t="shared" ref="F12:F13" si="5">F11+E12</f>
        <v>5233.286712328767</v>
      </c>
      <c r="G12" s="81">
        <f t="shared" ref="G12:G13" si="6">G11</f>
        <v>11.65</v>
      </c>
      <c r="H12" s="81">
        <f t="shared" si="0"/>
        <v>6387.3688000000002</v>
      </c>
      <c r="I12" s="82">
        <f t="shared" si="1"/>
        <v>1.2205272042428719</v>
      </c>
      <c r="J12" s="82">
        <f t="shared" si="2"/>
        <v>0.22052720424287187</v>
      </c>
      <c r="K12" s="83">
        <f>ROUND(J12*'Application 7 Corrigé '!$D$3/0.6,4)</f>
        <v>0.11890000000000001</v>
      </c>
      <c r="L12" s="168">
        <f t="shared" si="3"/>
        <v>622.24</v>
      </c>
      <c r="M12" s="169"/>
      <c r="N12" s="170">
        <f>L12-L11</f>
        <v>-18.860000000000014</v>
      </c>
    </row>
    <row r="13" spans="1:14" ht="35.25" customHeight="1" x14ac:dyDescent="0.3">
      <c r="A13" s="12"/>
      <c r="B13" s="15" t="s">
        <v>113</v>
      </c>
      <c r="C13" s="77">
        <f>'ENONCE 1 '!B165</f>
        <v>151.66999999999999</v>
      </c>
      <c r="D13" s="78">
        <f t="shared" si="4"/>
        <v>494.34000000000003</v>
      </c>
      <c r="E13" s="79">
        <f>'ENONCE 1 '!D165</f>
        <v>3000</v>
      </c>
      <c r="F13" s="84">
        <f t="shared" si="5"/>
        <v>8233.286712328767</v>
      </c>
      <c r="G13" s="81">
        <f t="shared" si="6"/>
        <v>11.65</v>
      </c>
      <c r="H13" s="81">
        <f t="shared" si="0"/>
        <v>9214.4976000000006</v>
      </c>
      <c r="I13" s="82">
        <f t="shared" si="1"/>
        <v>1.1191760862890805</v>
      </c>
      <c r="J13" s="82">
        <f t="shared" si="2"/>
        <v>0.1191760862890805</v>
      </c>
      <c r="K13" s="83">
        <f>ROUND(J13*'Application 7 Corrigé '!$D$3/0.6,4)</f>
        <v>6.4199999999999993E-2</v>
      </c>
      <c r="L13" s="166">
        <f t="shared" si="3"/>
        <v>528.58000000000004</v>
      </c>
      <c r="M13" s="167"/>
      <c r="N13" s="170">
        <f>L13-L12</f>
        <v>-93.659999999999968</v>
      </c>
    </row>
    <row r="14" spans="1:14" x14ac:dyDescent="0.3">
      <c r="A14" s="12"/>
      <c r="B14" s="12"/>
      <c r="C14" s="12"/>
      <c r="D14" s="12"/>
      <c r="E14" s="12"/>
      <c r="F14" s="12"/>
      <c r="G14" s="12"/>
      <c r="H14" s="12"/>
      <c r="I14" s="12"/>
      <c r="J14" s="12"/>
    </row>
    <row r="16" spans="1:14" x14ac:dyDescent="0.3">
      <c r="B16" s="171" t="s">
        <v>141</v>
      </c>
      <c r="C16" t="s">
        <v>142</v>
      </c>
    </row>
    <row r="18" spans="4:9" x14ac:dyDescent="0.3">
      <c r="D18" t="s">
        <v>143</v>
      </c>
      <c r="F18" t="s">
        <v>144</v>
      </c>
      <c r="I18" t="s">
        <v>145</v>
      </c>
    </row>
    <row r="19" spans="4:9" x14ac:dyDescent="0.3">
      <c r="F19" t="s">
        <v>146</v>
      </c>
      <c r="I19" t="s">
        <v>147</v>
      </c>
    </row>
  </sheetData>
  <mergeCells count="16">
    <mergeCell ref="L13:M13"/>
    <mergeCell ref="B7:B8"/>
    <mergeCell ref="N7:N9"/>
    <mergeCell ref="L10:M10"/>
    <mergeCell ref="L11:M11"/>
    <mergeCell ref="L12:M12"/>
    <mergeCell ref="L7:M9"/>
    <mergeCell ref="H8:H9"/>
    <mergeCell ref="G7:G9"/>
    <mergeCell ref="I7:I9"/>
    <mergeCell ref="J7:J9"/>
    <mergeCell ref="K7:K9"/>
    <mergeCell ref="C7:C8"/>
    <mergeCell ref="D7:D8"/>
    <mergeCell ref="E7:E8"/>
    <mergeCell ref="F7:F8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172"/>
  <sheetViews>
    <sheetView topLeftCell="C19" zoomScaleNormal="100" workbookViewId="0">
      <selection activeCell="G9" sqref="G9"/>
    </sheetView>
  </sheetViews>
  <sheetFormatPr baseColWidth="10" defaultColWidth="11.44140625" defaultRowHeight="13.8" x14ac:dyDescent="0.25"/>
  <cols>
    <col min="1" max="2" width="11.44140625" style="12"/>
    <col min="3" max="3" width="14.5546875" style="12" customWidth="1"/>
    <col min="4" max="4" width="17.5546875" style="12" customWidth="1"/>
    <col min="5" max="5" width="17" style="12" customWidth="1"/>
    <col min="6" max="6" width="27.109375" style="12" customWidth="1"/>
    <col min="7" max="7" width="14.44140625" style="12" customWidth="1"/>
    <col min="8" max="8" width="17.88671875" style="12" customWidth="1"/>
    <col min="9" max="9" width="17.33203125" style="12" customWidth="1"/>
    <col min="10" max="10" width="11.44140625" style="12"/>
    <col min="11" max="11" width="14.44140625" style="12" customWidth="1"/>
    <col min="12" max="12" width="11.44140625" style="12"/>
    <col min="13" max="13" width="14" style="12" customWidth="1"/>
    <col min="14" max="16384" width="11.44140625" style="12"/>
  </cols>
  <sheetData>
    <row r="2" spans="2:7" x14ac:dyDescent="0.25">
      <c r="B2" s="12" t="s">
        <v>28</v>
      </c>
    </row>
    <row r="3" spans="2:7" x14ac:dyDescent="0.25">
      <c r="E3" s="12" t="s">
        <v>29</v>
      </c>
      <c r="F3" s="17">
        <v>0.31940000000000002</v>
      </c>
      <c r="G3" s="12" t="s">
        <v>30</v>
      </c>
    </row>
    <row r="5" spans="2:7" x14ac:dyDescent="0.25">
      <c r="B5" s="12" t="s">
        <v>31</v>
      </c>
      <c r="E5" s="12" t="s">
        <v>32</v>
      </c>
      <c r="F5" s="17">
        <v>0.32340000000000002</v>
      </c>
      <c r="G5" s="12" t="s">
        <v>30</v>
      </c>
    </row>
    <row r="7" spans="2:7" x14ac:dyDescent="0.25">
      <c r="E7" s="14" t="s">
        <v>33</v>
      </c>
      <c r="F7" s="17">
        <v>11.52</v>
      </c>
      <c r="G7" s="12" t="s">
        <v>34</v>
      </c>
    </row>
    <row r="8" spans="2:7" x14ac:dyDescent="0.25">
      <c r="E8" s="14" t="s">
        <v>33</v>
      </c>
      <c r="F8" s="17">
        <v>11.65</v>
      </c>
      <c r="G8" s="63">
        <v>45292</v>
      </c>
    </row>
    <row r="10" spans="2:7" x14ac:dyDescent="0.25">
      <c r="B10" s="32" t="s">
        <v>35</v>
      </c>
    </row>
    <row r="12" spans="2:7" x14ac:dyDescent="0.25">
      <c r="C12" s="12" t="s">
        <v>36</v>
      </c>
      <c r="E12" s="12" t="s">
        <v>36</v>
      </c>
      <c r="F12" s="22">
        <v>60</v>
      </c>
    </row>
    <row r="13" spans="2:7" x14ac:dyDescent="0.25">
      <c r="C13" s="12" t="s">
        <v>37</v>
      </c>
      <c r="E13" s="12" t="s">
        <v>38</v>
      </c>
      <c r="F13" s="23">
        <v>2000</v>
      </c>
    </row>
    <row r="14" spans="2:7" x14ac:dyDescent="0.25">
      <c r="C14" s="12" t="s">
        <v>18</v>
      </c>
      <c r="E14" s="12" t="s">
        <v>39</v>
      </c>
      <c r="F14" s="22">
        <v>151.66999999999999</v>
      </c>
    </row>
    <row r="15" spans="2:7" x14ac:dyDescent="0.25">
      <c r="C15" s="12" t="s">
        <v>40</v>
      </c>
      <c r="F15" s="17" t="s">
        <v>41</v>
      </c>
    </row>
    <row r="17" spans="2:12" ht="28.5" customHeight="1" x14ac:dyDescent="0.25">
      <c r="B17" s="85" t="s">
        <v>42</v>
      </c>
      <c r="C17" s="85"/>
      <c r="D17" s="85"/>
      <c r="E17" s="85"/>
      <c r="F17" s="85"/>
      <c r="G17" s="85"/>
      <c r="H17" s="85"/>
      <c r="I17" s="85"/>
      <c r="J17" s="85"/>
    </row>
    <row r="18" spans="2:12" s="16" customFormat="1" ht="54.75" customHeight="1" x14ac:dyDescent="0.25">
      <c r="B18" s="94" t="s">
        <v>16</v>
      </c>
      <c r="C18" s="94" t="s">
        <v>18</v>
      </c>
      <c r="D18" s="94" t="s">
        <v>19</v>
      </c>
      <c r="E18" s="15" t="s">
        <v>20</v>
      </c>
      <c r="F18" s="85" t="s">
        <v>21</v>
      </c>
      <c r="G18" s="85" t="s">
        <v>22</v>
      </c>
      <c r="H18" s="85" t="s">
        <v>23</v>
      </c>
      <c r="I18" s="85" t="s">
        <v>43</v>
      </c>
      <c r="J18" s="85"/>
      <c r="K18" s="45"/>
      <c r="L18" s="45"/>
    </row>
    <row r="19" spans="2:12" ht="38.25" customHeight="1" x14ac:dyDescent="0.25">
      <c r="B19" s="87"/>
      <c r="C19" s="87"/>
      <c r="D19" s="87"/>
      <c r="E19" s="87" t="s">
        <v>25</v>
      </c>
      <c r="F19" s="85"/>
      <c r="G19" s="85"/>
      <c r="H19" s="85"/>
      <c r="I19" s="85"/>
      <c r="J19" s="85"/>
    </row>
    <row r="20" spans="2:12" ht="38.25" customHeight="1" x14ac:dyDescent="0.25">
      <c r="B20" s="88"/>
      <c r="C20" s="88"/>
      <c r="D20" s="88"/>
      <c r="E20" s="88"/>
      <c r="F20" s="85"/>
      <c r="G20" s="85"/>
      <c r="H20" s="85"/>
      <c r="I20" s="85"/>
      <c r="J20" s="85"/>
    </row>
    <row r="21" spans="2:12" x14ac:dyDescent="0.25">
      <c r="B21" s="95"/>
      <c r="C21" s="87"/>
      <c r="D21" s="87"/>
      <c r="E21" s="87"/>
      <c r="F21" s="87"/>
      <c r="G21" s="87"/>
      <c r="H21" s="87"/>
      <c r="I21" s="98"/>
      <c r="J21" s="99"/>
    </row>
    <row r="22" spans="2:12" x14ac:dyDescent="0.25">
      <c r="B22" s="95"/>
      <c r="C22" s="88"/>
      <c r="D22" s="88"/>
      <c r="E22" s="88"/>
      <c r="F22" s="88"/>
      <c r="G22" s="88"/>
      <c r="H22" s="88"/>
      <c r="I22" s="100"/>
      <c r="J22" s="101"/>
    </row>
    <row r="24" spans="2:12" x14ac:dyDescent="0.25">
      <c r="B24" s="102" t="s">
        <v>44</v>
      </c>
      <c r="C24" s="102"/>
    </row>
    <row r="26" spans="2:12" x14ac:dyDescent="0.25">
      <c r="B26" s="44"/>
      <c r="C26" s="24" t="s">
        <v>45</v>
      </c>
      <c r="E26" s="12" t="s">
        <v>36</v>
      </c>
      <c r="F26" s="22">
        <v>70</v>
      </c>
    </row>
    <row r="27" spans="2:12" x14ac:dyDescent="0.25">
      <c r="C27" s="12" t="s">
        <v>46</v>
      </c>
      <c r="E27" s="12" t="s">
        <v>47</v>
      </c>
      <c r="F27" s="22" t="s">
        <v>41</v>
      </c>
    </row>
    <row r="28" spans="2:12" x14ac:dyDescent="0.25">
      <c r="C28" s="12" t="s">
        <v>48</v>
      </c>
      <c r="F28" s="23">
        <v>1800</v>
      </c>
      <c r="G28" s="57">
        <v>151.66999999999999</v>
      </c>
      <c r="H28" s="14">
        <f>ROUND(F28/G28,3)</f>
        <v>11.868</v>
      </c>
    </row>
    <row r="29" spans="2:12" x14ac:dyDescent="0.25">
      <c r="C29" s="103" t="s">
        <v>49</v>
      </c>
      <c r="D29" s="103"/>
      <c r="E29" s="103"/>
      <c r="F29" s="23">
        <f>ROUND(G29*H29,3)</f>
        <v>226.24299999999999</v>
      </c>
      <c r="G29" s="57">
        <v>17.329999999999998</v>
      </c>
      <c r="H29" s="14">
        <f>ROUND(H28*1.1,3)</f>
        <v>13.055</v>
      </c>
    </row>
    <row r="30" spans="2:12" x14ac:dyDescent="0.25">
      <c r="C30" s="12" t="s">
        <v>50</v>
      </c>
      <c r="F30" s="30">
        <f>SUM(F28:F29)</f>
        <v>2026.2429999999999</v>
      </c>
    </row>
    <row r="32" spans="2:12" ht="28.5" customHeight="1" x14ac:dyDescent="0.25">
      <c r="C32" s="85" t="s">
        <v>42</v>
      </c>
      <c r="D32" s="85"/>
      <c r="E32" s="85"/>
      <c r="F32" s="85"/>
      <c r="G32" s="85"/>
      <c r="H32" s="85"/>
      <c r="I32" s="85"/>
      <c r="J32" s="85"/>
    </row>
    <row r="33" spans="2:12" s="16" customFormat="1" ht="54.75" customHeight="1" x14ac:dyDescent="0.25">
      <c r="C33" s="94" t="s">
        <v>18</v>
      </c>
      <c r="D33" s="94" t="s">
        <v>19</v>
      </c>
      <c r="E33" s="15" t="s">
        <v>20</v>
      </c>
      <c r="F33" s="85" t="s">
        <v>21</v>
      </c>
      <c r="G33" s="85" t="s">
        <v>22</v>
      </c>
      <c r="H33" s="85" t="s">
        <v>51</v>
      </c>
      <c r="I33" s="85" t="s">
        <v>43</v>
      </c>
      <c r="J33" s="85"/>
      <c r="K33" s="45"/>
      <c r="L33" s="45"/>
    </row>
    <row r="34" spans="2:12" ht="38.25" customHeight="1" x14ac:dyDescent="0.25">
      <c r="C34" s="87"/>
      <c r="D34" s="87"/>
      <c r="E34" s="87" t="s">
        <v>25</v>
      </c>
      <c r="F34" s="85"/>
      <c r="G34" s="85"/>
      <c r="H34" s="85"/>
      <c r="I34" s="85"/>
      <c r="J34" s="85"/>
    </row>
    <row r="35" spans="2:12" ht="38.25" customHeight="1" x14ac:dyDescent="0.25">
      <c r="C35" s="88"/>
      <c r="D35" s="88"/>
      <c r="E35" s="88"/>
      <c r="F35" s="85"/>
      <c r="G35" s="85"/>
      <c r="H35" s="85"/>
      <c r="I35" s="85"/>
      <c r="J35" s="85"/>
    </row>
    <row r="36" spans="2:12" x14ac:dyDescent="0.25">
      <c r="C36" s="87"/>
      <c r="D36" s="87"/>
      <c r="E36" s="87"/>
      <c r="F36" s="87"/>
      <c r="G36" s="87"/>
      <c r="H36" s="87"/>
      <c r="I36" s="104"/>
      <c r="J36" s="105"/>
    </row>
    <row r="37" spans="2:12" x14ac:dyDescent="0.25">
      <c r="C37" s="88"/>
      <c r="D37" s="88"/>
      <c r="E37" s="88"/>
      <c r="F37" s="88"/>
      <c r="G37" s="88"/>
      <c r="H37" s="88"/>
      <c r="I37" s="106"/>
      <c r="J37" s="107"/>
    </row>
    <row r="39" spans="2:12" x14ac:dyDescent="0.25">
      <c r="H39" s="12">
        <f>1700*3*0.5/91.25</f>
        <v>27.945205479452056</v>
      </c>
    </row>
    <row r="40" spans="2:12" x14ac:dyDescent="0.25">
      <c r="B40" s="102" t="s">
        <v>52</v>
      </c>
      <c r="C40" s="102"/>
    </row>
    <row r="42" spans="2:12" x14ac:dyDescent="0.25">
      <c r="C42" s="108" t="s">
        <v>48</v>
      </c>
      <c r="D42" s="108"/>
      <c r="E42" s="46">
        <v>151.66999999999999</v>
      </c>
      <c r="F42" s="47">
        <f>G42/E42</f>
        <v>12.527197204457046</v>
      </c>
      <c r="G42" s="58">
        <v>1900</v>
      </c>
    </row>
    <row r="43" spans="2:12" x14ac:dyDescent="0.25">
      <c r="C43" s="108" t="s">
        <v>53</v>
      </c>
      <c r="D43" s="108"/>
      <c r="E43" s="49"/>
      <c r="F43" s="47"/>
      <c r="G43" s="58">
        <f>-1900*10/20</f>
        <v>-950</v>
      </c>
      <c r="H43" s="12" t="s">
        <v>54</v>
      </c>
    </row>
    <row r="44" spans="2:12" x14ac:dyDescent="0.25">
      <c r="C44" s="109" t="s">
        <v>55</v>
      </c>
      <c r="D44" s="109"/>
      <c r="E44" s="49"/>
      <c r="F44" s="47"/>
      <c r="G44" s="58">
        <f>0.9*G42*10/20</f>
        <v>855</v>
      </c>
      <c r="H44" s="12" t="s">
        <v>56</v>
      </c>
    </row>
    <row r="45" spans="2:12" x14ac:dyDescent="0.25">
      <c r="C45" s="110" t="s">
        <v>57</v>
      </c>
      <c r="D45" s="110"/>
      <c r="E45" s="49"/>
      <c r="F45" s="47"/>
      <c r="G45" s="59">
        <f>-7*1900*3*0.5/91.25</f>
        <v>-218.63013698630138</v>
      </c>
      <c r="H45" s="12" t="s">
        <v>58</v>
      </c>
    </row>
    <row r="46" spans="2:12" x14ac:dyDescent="0.25">
      <c r="C46" s="108" t="s">
        <v>59</v>
      </c>
      <c r="D46" s="108"/>
      <c r="E46" s="52"/>
      <c r="F46" s="53"/>
      <c r="G46" s="33">
        <f>SUM(G42:G45)</f>
        <v>1586.3698630136987</v>
      </c>
    </row>
    <row r="48" spans="2:12" ht="29.25" customHeight="1" x14ac:dyDescent="0.25">
      <c r="C48" s="85" t="s">
        <v>42</v>
      </c>
      <c r="D48" s="85"/>
      <c r="E48" s="85"/>
      <c r="F48" s="85"/>
      <c r="G48" s="85"/>
      <c r="H48" s="85"/>
      <c r="I48" s="85"/>
      <c r="J48" s="85"/>
    </row>
    <row r="49" spans="3:10" ht="15" customHeight="1" x14ac:dyDescent="0.25">
      <c r="C49" s="94" t="s">
        <v>18</v>
      </c>
      <c r="D49" s="94" t="s">
        <v>19</v>
      </c>
      <c r="E49" s="15" t="s">
        <v>20</v>
      </c>
      <c r="F49" s="85" t="s">
        <v>21</v>
      </c>
      <c r="G49" s="85" t="s">
        <v>22</v>
      </c>
      <c r="H49" s="85" t="s">
        <v>60</v>
      </c>
      <c r="I49" s="85" t="s">
        <v>43</v>
      </c>
      <c r="J49" s="85"/>
    </row>
    <row r="50" spans="3:10" ht="15" customHeight="1" x14ac:dyDescent="0.25">
      <c r="C50" s="87"/>
      <c r="D50" s="87"/>
      <c r="E50" s="111" t="s">
        <v>25</v>
      </c>
      <c r="F50" s="85"/>
      <c r="G50" s="85"/>
      <c r="H50" s="85"/>
      <c r="I50" s="85"/>
      <c r="J50" s="85"/>
    </row>
    <row r="51" spans="3:10" ht="24" customHeight="1" x14ac:dyDescent="0.25">
      <c r="C51" s="88"/>
      <c r="D51" s="88"/>
      <c r="E51" s="112"/>
      <c r="F51" s="85"/>
      <c r="G51" s="85"/>
      <c r="H51" s="85"/>
      <c r="I51" s="85"/>
      <c r="J51" s="85"/>
    </row>
    <row r="52" spans="3:10" x14ac:dyDescent="0.25">
      <c r="C52" s="87"/>
      <c r="D52" s="87"/>
      <c r="E52" s="87"/>
      <c r="F52" s="87"/>
      <c r="G52" s="87"/>
      <c r="H52" s="87"/>
      <c r="I52" s="104"/>
      <c r="J52" s="105"/>
    </row>
    <row r="53" spans="3:10" x14ac:dyDescent="0.25">
      <c r="C53" s="88"/>
      <c r="D53" s="88"/>
      <c r="E53" s="88"/>
      <c r="F53" s="88"/>
      <c r="G53" s="88"/>
      <c r="H53" s="88"/>
      <c r="I53" s="106"/>
      <c r="J53" s="107"/>
    </row>
    <row r="54" spans="3:10" x14ac:dyDescent="0.25">
      <c r="C54" s="12" t="s">
        <v>61</v>
      </c>
    </row>
    <row r="56" spans="3:10" x14ac:dyDescent="0.25">
      <c r="C56" s="12" t="s">
        <v>62</v>
      </c>
    </row>
    <row r="58" spans="3:10" x14ac:dyDescent="0.25">
      <c r="C58" s="12" t="s">
        <v>63</v>
      </c>
      <c r="E58" s="12" t="s">
        <v>64</v>
      </c>
    </row>
    <row r="61" spans="3:10" x14ac:dyDescent="0.25">
      <c r="C61" s="32" t="s">
        <v>65</v>
      </c>
      <c r="D61" s="12" t="s">
        <v>66</v>
      </c>
    </row>
    <row r="63" spans="3:10" x14ac:dyDescent="0.25">
      <c r="D63" s="108" t="s">
        <v>48</v>
      </c>
      <c r="E63" s="108"/>
      <c r="F63" s="46">
        <v>151.66999999999999</v>
      </c>
      <c r="G63" s="54">
        <f>H63/F63</f>
        <v>11.867871035801413</v>
      </c>
      <c r="H63" s="33">
        <v>1800</v>
      </c>
    </row>
    <row r="64" spans="3:10" x14ac:dyDescent="0.25">
      <c r="D64" s="108" t="s">
        <v>53</v>
      </c>
      <c r="E64" s="108"/>
      <c r="F64" s="49"/>
      <c r="G64" s="54"/>
      <c r="H64" s="33">
        <f>-H63*10/20</f>
        <v>-900</v>
      </c>
      <c r="I64" s="12" t="s">
        <v>67</v>
      </c>
    </row>
    <row r="65" spans="4:11" x14ac:dyDescent="0.25">
      <c r="D65" s="109" t="s">
        <v>55</v>
      </c>
      <c r="E65" s="109"/>
      <c r="F65" s="49"/>
      <c r="G65" s="54"/>
      <c r="H65" s="33">
        <f>0.9*H63*10/20</f>
        <v>810</v>
      </c>
    </row>
    <row r="66" spans="4:11" x14ac:dyDescent="0.25">
      <c r="D66" s="110" t="s">
        <v>57</v>
      </c>
      <c r="E66" s="110"/>
      <c r="F66" s="49"/>
      <c r="G66" s="54"/>
      <c r="H66" s="33">
        <f>-7*1800*3*0.5/91.25</f>
        <v>-207.12328767123287</v>
      </c>
    </row>
    <row r="67" spans="4:11" x14ac:dyDescent="0.25">
      <c r="D67" s="50" t="s">
        <v>68</v>
      </c>
      <c r="E67" s="50"/>
      <c r="F67" s="49"/>
      <c r="G67" s="54"/>
      <c r="H67" s="33">
        <v>200</v>
      </c>
    </row>
    <row r="68" spans="4:11" x14ac:dyDescent="0.25">
      <c r="D68" s="108" t="s">
        <v>59</v>
      </c>
      <c r="E68" s="108"/>
      <c r="F68" s="52"/>
      <c r="G68" s="53"/>
      <c r="H68" s="33">
        <f>SUM(H63:H67)</f>
        <v>1702.8767123287671</v>
      </c>
    </row>
    <row r="70" spans="4:11" x14ac:dyDescent="0.25">
      <c r="D70" s="85" t="s">
        <v>42</v>
      </c>
      <c r="E70" s="85"/>
      <c r="F70" s="85"/>
      <c r="G70" s="85"/>
      <c r="H70" s="85"/>
      <c r="I70" s="85"/>
      <c r="J70" s="85"/>
      <c r="K70" s="85"/>
    </row>
    <row r="71" spans="4:11" ht="15" customHeight="1" x14ac:dyDescent="0.25">
      <c r="D71" s="94" t="s">
        <v>18</v>
      </c>
      <c r="E71" s="94" t="s">
        <v>19</v>
      </c>
      <c r="F71" s="15" t="s">
        <v>20</v>
      </c>
      <c r="G71" s="85" t="s">
        <v>21</v>
      </c>
      <c r="H71" s="85" t="s">
        <v>22</v>
      </c>
      <c r="I71" s="85" t="s">
        <v>60</v>
      </c>
      <c r="J71" s="85" t="s">
        <v>43</v>
      </c>
      <c r="K71" s="85"/>
    </row>
    <row r="72" spans="4:11" x14ac:dyDescent="0.25">
      <c r="D72" s="87"/>
      <c r="E72" s="87"/>
      <c r="F72" s="87" t="s">
        <v>25</v>
      </c>
      <c r="G72" s="85"/>
      <c r="H72" s="85"/>
      <c r="I72" s="85"/>
      <c r="J72" s="85"/>
      <c r="K72" s="85"/>
    </row>
    <row r="73" spans="4:11" x14ac:dyDescent="0.25">
      <c r="D73" s="88"/>
      <c r="E73" s="88"/>
      <c r="F73" s="88"/>
      <c r="G73" s="85"/>
      <c r="H73" s="85"/>
      <c r="I73" s="85"/>
      <c r="J73" s="85"/>
      <c r="K73" s="85"/>
    </row>
    <row r="74" spans="4:11" x14ac:dyDescent="0.25">
      <c r="D74" s="87"/>
      <c r="E74" s="87"/>
      <c r="F74" s="87"/>
      <c r="G74" s="87"/>
      <c r="H74" s="87"/>
      <c r="I74" s="87"/>
      <c r="J74" s="104"/>
      <c r="K74" s="105"/>
    </row>
    <row r="75" spans="4:11" x14ac:dyDescent="0.25">
      <c r="D75" s="88"/>
      <c r="E75" s="88"/>
      <c r="F75" s="88"/>
      <c r="G75" s="88"/>
      <c r="H75" s="88"/>
      <c r="I75" s="88"/>
      <c r="J75" s="106"/>
      <c r="K75" s="107"/>
    </row>
    <row r="77" spans="4:11" x14ac:dyDescent="0.25">
      <c r="D77" s="12" t="s">
        <v>69</v>
      </c>
    </row>
    <row r="79" spans="4:11" x14ac:dyDescent="0.25">
      <c r="D79" s="12" t="s">
        <v>70</v>
      </c>
      <c r="G79" s="12" t="s">
        <v>71</v>
      </c>
      <c r="H79" s="12">
        <v>2000</v>
      </c>
    </row>
    <row r="80" spans="4:11" x14ac:dyDescent="0.25">
      <c r="D80" s="12" t="s">
        <v>72</v>
      </c>
      <c r="H80" s="38">
        <f>H68</f>
        <v>1702.8767123287671</v>
      </c>
    </row>
    <row r="81" spans="3:9" x14ac:dyDescent="0.25">
      <c r="D81" s="12" t="s">
        <v>73</v>
      </c>
      <c r="I81" s="12" t="s">
        <v>74</v>
      </c>
    </row>
    <row r="82" spans="3:9" x14ac:dyDescent="0.25">
      <c r="D82" s="12" t="s">
        <v>75</v>
      </c>
      <c r="H82" s="38">
        <f>H63</f>
        <v>1800</v>
      </c>
    </row>
    <row r="83" spans="3:9" x14ac:dyDescent="0.25">
      <c r="D83" s="12" t="s">
        <v>76</v>
      </c>
      <c r="H83" s="38">
        <f>H80-H67</f>
        <v>1502.8767123287671</v>
      </c>
    </row>
    <row r="84" spans="3:9" x14ac:dyDescent="0.25">
      <c r="D84" s="12" t="s">
        <v>77</v>
      </c>
      <c r="G84" s="12" t="s">
        <v>39</v>
      </c>
      <c r="H84" s="14"/>
    </row>
    <row r="89" spans="3:9" x14ac:dyDescent="0.25">
      <c r="C89" s="32" t="s">
        <v>78</v>
      </c>
      <c r="D89" s="12" t="s">
        <v>79</v>
      </c>
      <c r="H89" s="12" t="s">
        <v>80</v>
      </c>
    </row>
    <row r="91" spans="3:9" x14ac:dyDescent="0.25">
      <c r="D91" s="108" t="s">
        <v>48</v>
      </c>
      <c r="E91" s="108"/>
      <c r="F91" s="46">
        <v>151.66999999999999</v>
      </c>
      <c r="G91" s="47">
        <f>H91/F91</f>
        <v>11.867871035801413</v>
      </c>
      <c r="H91" s="48">
        <v>1800</v>
      </c>
    </row>
    <row r="92" spans="3:9" x14ac:dyDescent="0.25">
      <c r="D92" s="108" t="s">
        <v>53</v>
      </c>
      <c r="E92" s="108"/>
      <c r="F92" s="49"/>
      <c r="G92" s="47"/>
      <c r="H92" s="48">
        <f>-H91*10/20</f>
        <v>-900</v>
      </c>
      <c r="I92" s="12" t="s">
        <v>81</v>
      </c>
    </row>
    <row r="93" spans="3:9" x14ac:dyDescent="0.25">
      <c r="D93" s="113" t="s">
        <v>82</v>
      </c>
      <c r="E93" s="114"/>
      <c r="F93" s="115"/>
      <c r="G93" s="47"/>
      <c r="H93" s="48">
        <f>0.9*H91*10/20</f>
        <v>810</v>
      </c>
      <c r="I93" s="12" t="s">
        <v>83</v>
      </c>
    </row>
    <row r="94" spans="3:9" x14ac:dyDescent="0.25">
      <c r="D94" s="110" t="s">
        <v>57</v>
      </c>
      <c r="E94" s="110"/>
      <c r="F94" s="49"/>
      <c r="G94" s="47"/>
      <c r="H94" s="48">
        <f>-7*1800*3*0.5/91.25</f>
        <v>-207.12328767123287</v>
      </c>
    </row>
    <row r="95" spans="3:9" x14ac:dyDescent="0.25">
      <c r="D95" s="50" t="s">
        <v>84</v>
      </c>
      <c r="E95" s="50"/>
      <c r="F95" s="49"/>
      <c r="G95" s="47"/>
      <c r="H95" s="51">
        <f>200*(140-70)/140</f>
        <v>100</v>
      </c>
    </row>
    <row r="96" spans="3:9" x14ac:dyDescent="0.25">
      <c r="D96" s="108" t="s">
        <v>59</v>
      </c>
      <c r="E96" s="108"/>
      <c r="F96" s="52"/>
      <c r="G96" s="53"/>
      <c r="H96" s="33">
        <f>SUM(H91:H95)</f>
        <v>1602.8767123287671</v>
      </c>
    </row>
    <row r="98" spans="3:11" x14ac:dyDescent="0.25">
      <c r="D98" s="85" t="s">
        <v>42</v>
      </c>
      <c r="E98" s="85"/>
      <c r="F98" s="85"/>
      <c r="G98" s="85"/>
      <c r="H98" s="85"/>
      <c r="I98" s="85"/>
      <c r="J98" s="85"/>
      <c r="K98" s="85"/>
    </row>
    <row r="99" spans="3:11" ht="15" customHeight="1" x14ac:dyDescent="0.25">
      <c r="D99" s="94" t="s">
        <v>18</v>
      </c>
      <c r="E99" s="94" t="s">
        <v>19</v>
      </c>
      <c r="F99" s="15" t="s">
        <v>20</v>
      </c>
      <c r="G99" s="85" t="s">
        <v>21</v>
      </c>
      <c r="H99" s="85" t="s">
        <v>22</v>
      </c>
      <c r="I99" s="85" t="s">
        <v>85</v>
      </c>
      <c r="J99" s="85" t="s">
        <v>43</v>
      </c>
      <c r="K99" s="85"/>
    </row>
    <row r="100" spans="3:11" x14ac:dyDescent="0.25">
      <c r="D100" s="87"/>
      <c r="E100" s="87"/>
      <c r="F100" s="87" t="s">
        <v>86</v>
      </c>
      <c r="G100" s="85"/>
      <c r="H100" s="85"/>
      <c r="I100" s="85"/>
      <c r="J100" s="85"/>
      <c r="K100" s="85"/>
    </row>
    <row r="101" spans="3:11" x14ac:dyDescent="0.25">
      <c r="D101" s="88"/>
      <c r="E101" s="88"/>
      <c r="F101" s="88"/>
      <c r="G101" s="85"/>
      <c r="H101" s="85"/>
      <c r="I101" s="85"/>
      <c r="J101" s="85"/>
      <c r="K101" s="85"/>
    </row>
    <row r="102" spans="3:11" x14ac:dyDescent="0.25">
      <c r="D102" s="87"/>
      <c r="E102" s="87"/>
      <c r="F102" s="87"/>
      <c r="G102" s="87"/>
      <c r="H102" s="87"/>
      <c r="I102" s="87"/>
      <c r="J102" s="104"/>
      <c r="K102" s="105"/>
    </row>
    <row r="103" spans="3:11" x14ac:dyDescent="0.25">
      <c r="D103" s="88"/>
      <c r="E103" s="88"/>
      <c r="F103" s="88"/>
      <c r="G103" s="88"/>
      <c r="H103" s="88"/>
      <c r="I103" s="88"/>
      <c r="J103" s="106"/>
      <c r="K103" s="107"/>
    </row>
    <row r="105" spans="3:11" x14ac:dyDescent="0.25">
      <c r="D105" s="12" t="s">
        <v>61</v>
      </c>
    </row>
    <row r="106" spans="3:11" x14ac:dyDescent="0.25">
      <c r="D106" s="12" t="s">
        <v>87</v>
      </c>
    </row>
    <row r="107" spans="3:11" x14ac:dyDescent="0.25">
      <c r="D107" s="12" t="s">
        <v>88</v>
      </c>
    </row>
    <row r="108" spans="3:11" x14ac:dyDescent="0.25">
      <c r="D108" s="12" t="s">
        <v>89</v>
      </c>
    </row>
    <row r="111" spans="3:11" x14ac:dyDescent="0.25">
      <c r="C111" s="32" t="s">
        <v>90</v>
      </c>
    </row>
    <row r="113" spans="3:10" x14ac:dyDescent="0.25">
      <c r="C113" s="12" t="s">
        <v>91</v>
      </c>
    </row>
    <row r="115" spans="3:10" x14ac:dyDescent="0.25">
      <c r="C115" s="12" t="s">
        <v>37</v>
      </c>
      <c r="F115" s="13">
        <v>1400</v>
      </c>
    </row>
    <row r="117" spans="3:10" x14ac:dyDescent="0.25">
      <c r="C117" s="12" t="s">
        <v>18</v>
      </c>
      <c r="F117" s="13">
        <v>90</v>
      </c>
    </row>
    <row r="119" spans="3:10" x14ac:dyDescent="0.25">
      <c r="C119" s="85" t="s">
        <v>42</v>
      </c>
      <c r="D119" s="85"/>
      <c r="E119" s="85"/>
      <c r="F119" s="85"/>
      <c r="G119" s="85"/>
      <c r="H119" s="85"/>
      <c r="I119" s="85"/>
      <c r="J119" s="85"/>
    </row>
    <row r="120" spans="3:10" x14ac:dyDescent="0.25">
      <c r="C120" s="94" t="s">
        <v>18</v>
      </c>
      <c r="D120" s="94" t="s">
        <v>19</v>
      </c>
      <c r="E120" s="15" t="s">
        <v>20</v>
      </c>
      <c r="F120" s="85" t="s">
        <v>21</v>
      </c>
      <c r="G120" s="85" t="s">
        <v>22</v>
      </c>
      <c r="H120" s="85" t="s">
        <v>60</v>
      </c>
      <c r="I120" s="85" t="s">
        <v>43</v>
      </c>
      <c r="J120" s="85"/>
    </row>
    <row r="121" spans="3:10" x14ac:dyDescent="0.25">
      <c r="C121" s="87"/>
      <c r="D121" s="87"/>
      <c r="E121" s="87" t="s">
        <v>25</v>
      </c>
      <c r="F121" s="85"/>
      <c r="G121" s="85"/>
      <c r="H121" s="85"/>
      <c r="I121" s="85"/>
      <c r="J121" s="85"/>
    </row>
    <row r="122" spans="3:10" ht="45.75" customHeight="1" x14ac:dyDescent="0.25">
      <c r="C122" s="88"/>
      <c r="D122" s="88"/>
      <c r="E122" s="88"/>
      <c r="F122" s="85"/>
      <c r="G122" s="85"/>
      <c r="H122" s="85"/>
      <c r="I122" s="85"/>
      <c r="J122" s="85"/>
    </row>
    <row r="123" spans="3:10" x14ac:dyDescent="0.25">
      <c r="C123" s="87"/>
      <c r="D123" s="87"/>
      <c r="E123" s="87"/>
      <c r="F123" s="87"/>
      <c r="G123" s="87"/>
      <c r="H123" s="87"/>
      <c r="I123" s="104"/>
      <c r="J123" s="105"/>
    </row>
    <row r="124" spans="3:10" x14ac:dyDescent="0.25">
      <c r="C124" s="88"/>
      <c r="D124" s="88"/>
      <c r="E124" s="88"/>
      <c r="F124" s="88"/>
      <c r="G124" s="88"/>
      <c r="H124" s="88"/>
      <c r="I124" s="106"/>
      <c r="J124" s="107"/>
    </row>
    <row r="125" spans="3:10" x14ac:dyDescent="0.25">
      <c r="C125" s="55"/>
      <c r="D125" s="55"/>
      <c r="E125" s="55"/>
      <c r="F125" s="55"/>
      <c r="G125" s="55"/>
      <c r="H125" s="55"/>
      <c r="I125" s="55"/>
      <c r="J125" s="55"/>
    </row>
    <row r="126" spans="3:10" x14ac:dyDescent="0.25">
      <c r="C126" s="55"/>
      <c r="D126" s="55"/>
      <c r="E126" s="55"/>
      <c r="F126" s="55"/>
      <c r="G126" s="55"/>
      <c r="H126" s="55"/>
      <c r="I126" s="55"/>
      <c r="J126" s="55"/>
    </row>
    <row r="127" spans="3:10" x14ac:dyDescent="0.25">
      <c r="C127" s="55"/>
      <c r="D127" s="55"/>
      <c r="E127" s="55"/>
      <c r="F127" s="55"/>
      <c r="G127" s="55"/>
      <c r="H127" s="55"/>
      <c r="I127" s="55"/>
      <c r="J127" s="55"/>
    </row>
    <row r="128" spans="3:10" x14ac:dyDescent="0.25">
      <c r="C128" s="55"/>
      <c r="D128" s="55"/>
      <c r="E128" s="55"/>
      <c r="F128" s="55"/>
      <c r="G128" s="55"/>
      <c r="H128" s="55"/>
      <c r="I128" s="55"/>
      <c r="J128" s="55"/>
    </row>
    <row r="129" spans="3:10" x14ac:dyDescent="0.25">
      <c r="C129" s="55"/>
      <c r="D129" s="55"/>
      <c r="E129" s="55"/>
      <c r="F129" s="55"/>
      <c r="G129" s="55"/>
      <c r="H129" s="55"/>
      <c r="I129" s="55"/>
      <c r="J129" s="55"/>
    </row>
    <row r="130" spans="3:10" x14ac:dyDescent="0.25">
      <c r="C130" s="55"/>
      <c r="D130" s="55"/>
      <c r="E130" s="55"/>
      <c r="F130" s="55"/>
      <c r="G130" s="55"/>
      <c r="H130" s="55"/>
      <c r="I130" s="55"/>
      <c r="J130" s="55"/>
    </row>
    <row r="131" spans="3:10" x14ac:dyDescent="0.25">
      <c r="C131" s="55"/>
      <c r="D131" s="55"/>
      <c r="E131" s="55"/>
      <c r="F131" s="55"/>
      <c r="G131" s="55"/>
      <c r="H131" s="55"/>
      <c r="I131" s="55"/>
      <c r="J131" s="55"/>
    </row>
    <row r="132" spans="3:10" x14ac:dyDescent="0.25">
      <c r="C132" s="55"/>
      <c r="D132" s="55"/>
      <c r="E132" s="55"/>
      <c r="F132" s="55"/>
      <c r="G132" s="55"/>
      <c r="H132" s="55"/>
      <c r="I132" s="55"/>
      <c r="J132" s="55"/>
    </row>
    <row r="133" spans="3:10" x14ac:dyDescent="0.25">
      <c r="C133" s="55"/>
      <c r="D133" s="55"/>
      <c r="E133" s="55"/>
      <c r="F133" s="55"/>
      <c r="G133" s="55"/>
      <c r="H133" s="55"/>
      <c r="I133" s="55"/>
      <c r="J133" s="55"/>
    </row>
    <row r="134" spans="3:10" x14ac:dyDescent="0.25">
      <c r="C134" s="55"/>
      <c r="D134" s="55"/>
      <c r="E134" s="55"/>
      <c r="F134" s="55"/>
      <c r="G134" s="55"/>
      <c r="H134" s="55"/>
      <c r="I134" s="55"/>
      <c r="J134" s="55"/>
    </row>
    <row r="135" spans="3:10" x14ac:dyDescent="0.25">
      <c r="C135" s="55"/>
      <c r="D135" s="55"/>
      <c r="E135" s="55"/>
      <c r="F135" s="55"/>
      <c r="G135" s="55"/>
      <c r="H135" s="55"/>
      <c r="I135" s="55"/>
      <c r="J135" s="55"/>
    </row>
    <row r="136" spans="3:10" x14ac:dyDescent="0.25">
      <c r="C136" s="55"/>
      <c r="D136" s="55"/>
      <c r="E136" s="55"/>
      <c r="F136" s="55"/>
      <c r="G136" s="55"/>
      <c r="H136" s="55"/>
      <c r="I136" s="55"/>
      <c r="J136" s="55"/>
    </row>
    <row r="137" spans="3:10" x14ac:dyDescent="0.25">
      <c r="C137" s="55"/>
      <c r="D137" s="55"/>
      <c r="E137" s="55"/>
      <c r="F137" s="55"/>
      <c r="G137" s="55"/>
      <c r="H137" s="55"/>
      <c r="I137" s="55"/>
      <c r="J137" s="55"/>
    </row>
    <row r="139" spans="3:10" x14ac:dyDescent="0.25">
      <c r="C139" s="32" t="s">
        <v>92</v>
      </c>
    </row>
    <row r="141" spans="3:10" x14ac:dyDescent="0.25">
      <c r="C141" s="12" t="s">
        <v>93</v>
      </c>
    </row>
    <row r="143" spans="3:10" x14ac:dyDescent="0.25">
      <c r="C143" s="12" t="s">
        <v>37</v>
      </c>
      <c r="F143" s="40">
        <v>1500</v>
      </c>
      <c r="G143" s="17">
        <v>90</v>
      </c>
      <c r="H143" s="40">
        <f>F143/G143</f>
        <v>16.666666666666668</v>
      </c>
    </row>
    <row r="144" spans="3:10" x14ac:dyDescent="0.25">
      <c r="C144" s="12" t="s">
        <v>94</v>
      </c>
      <c r="F144" s="40">
        <f>G144*H144</f>
        <v>91.666666666666686</v>
      </c>
      <c r="G144" s="17">
        <v>5</v>
      </c>
      <c r="H144" s="40">
        <f>H143*1.1</f>
        <v>18.333333333333336</v>
      </c>
    </row>
    <row r="145" spans="1:12" x14ac:dyDescent="0.25">
      <c r="C145" s="12" t="s">
        <v>50</v>
      </c>
      <c r="F145" s="40">
        <f>SUM(F143:F144)</f>
        <v>1591.6666666666667</v>
      </c>
    </row>
    <row r="146" spans="1:12" x14ac:dyDescent="0.25">
      <c r="C146" s="12" t="s">
        <v>95</v>
      </c>
    </row>
    <row r="148" spans="1:12" x14ac:dyDescent="0.25">
      <c r="C148" s="85" t="s">
        <v>42</v>
      </c>
      <c r="D148" s="85"/>
      <c r="E148" s="85"/>
      <c r="F148" s="85"/>
      <c r="G148" s="85"/>
      <c r="H148" s="85"/>
      <c r="I148" s="85"/>
      <c r="J148" s="85"/>
    </row>
    <row r="149" spans="1:12" ht="15" customHeight="1" x14ac:dyDescent="0.25">
      <c r="C149" s="94" t="s">
        <v>18</v>
      </c>
      <c r="D149" s="94" t="s">
        <v>19</v>
      </c>
      <c r="E149" s="15" t="s">
        <v>20</v>
      </c>
      <c r="F149" s="85" t="s">
        <v>21</v>
      </c>
      <c r="G149" s="85" t="s">
        <v>22</v>
      </c>
      <c r="H149" s="85" t="s">
        <v>96</v>
      </c>
      <c r="I149" s="85" t="s">
        <v>43</v>
      </c>
      <c r="J149" s="85"/>
    </row>
    <row r="150" spans="1:12" x14ac:dyDescent="0.25">
      <c r="C150" s="87"/>
      <c r="D150" s="87"/>
      <c r="E150" s="111" t="s">
        <v>25</v>
      </c>
      <c r="F150" s="85"/>
      <c r="G150" s="85"/>
      <c r="H150" s="85"/>
      <c r="I150" s="85"/>
      <c r="J150" s="85"/>
    </row>
    <row r="151" spans="1:12" x14ac:dyDescent="0.25">
      <c r="C151" s="88"/>
      <c r="D151" s="88"/>
      <c r="E151" s="112"/>
      <c r="F151" s="85"/>
      <c r="G151" s="85"/>
      <c r="H151" s="85"/>
      <c r="I151" s="85"/>
      <c r="J151" s="85"/>
    </row>
    <row r="152" spans="1:12" x14ac:dyDescent="0.25">
      <c r="C152" s="123"/>
      <c r="D152" s="87"/>
      <c r="E152" s="87"/>
      <c r="F152" s="87"/>
      <c r="G152" s="87"/>
      <c r="H152" s="87"/>
      <c r="I152" s="104"/>
      <c r="J152" s="105"/>
    </row>
    <row r="153" spans="1:12" x14ac:dyDescent="0.25">
      <c r="C153" s="124"/>
      <c r="D153" s="88"/>
      <c r="E153" s="88"/>
      <c r="F153" s="88"/>
      <c r="G153" s="88"/>
      <c r="H153" s="88"/>
      <c r="I153" s="106"/>
      <c r="J153" s="107"/>
    </row>
    <row r="155" spans="1:12" x14ac:dyDescent="0.25">
      <c r="A155" s="32" t="s">
        <v>97</v>
      </c>
    </row>
    <row r="157" spans="1:12" x14ac:dyDescent="0.25">
      <c r="A157" s="12" t="s">
        <v>98</v>
      </c>
      <c r="G157" s="12" t="s">
        <v>99</v>
      </c>
    </row>
    <row r="159" spans="1:12" ht="15" customHeight="1" x14ac:dyDescent="0.25">
      <c r="A159" s="94" t="s">
        <v>100</v>
      </c>
      <c r="B159" s="94" t="s">
        <v>101</v>
      </c>
      <c r="C159" s="94" t="s">
        <v>102</v>
      </c>
      <c r="D159" s="94" t="s">
        <v>103</v>
      </c>
      <c r="E159" s="94" t="s">
        <v>104</v>
      </c>
      <c r="F159" s="94" t="s">
        <v>19</v>
      </c>
      <c r="G159" s="15" t="s">
        <v>20</v>
      </c>
      <c r="H159" s="122" t="s">
        <v>105</v>
      </c>
      <c r="I159" s="94" t="s">
        <v>22</v>
      </c>
      <c r="J159" s="116" t="s">
        <v>106</v>
      </c>
      <c r="K159" s="119" t="s">
        <v>107</v>
      </c>
      <c r="L159" s="85" t="s">
        <v>108</v>
      </c>
    </row>
    <row r="160" spans="1:12" ht="35.25" customHeight="1" x14ac:dyDescent="0.25">
      <c r="A160" s="88"/>
      <c r="B160" s="88"/>
      <c r="C160" s="88"/>
      <c r="D160" s="88"/>
      <c r="E160" s="88"/>
      <c r="F160" s="88"/>
      <c r="G160" s="42" t="s">
        <v>109</v>
      </c>
      <c r="H160" s="112"/>
      <c r="I160" s="87"/>
      <c r="J160" s="117"/>
      <c r="K160" s="120"/>
      <c r="L160" s="85"/>
    </row>
    <row r="161" spans="1:12" x14ac:dyDescent="0.25">
      <c r="F161" s="25"/>
      <c r="G161" s="43"/>
      <c r="H161" s="25"/>
      <c r="I161" s="88"/>
      <c r="J161" s="118"/>
      <c r="K161" s="121"/>
      <c r="L161" s="85"/>
    </row>
    <row r="162" spans="1:12" ht="19.5" customHeight="1" x14ac:dyDescent="0.25">
      <c r="A162" s="17" t="s">
        <v>110</v>
      </c>
      <c r="B162" s="41">
        <v>151.66999999999999</v>
      </c>
      <c r="C162" s="41">
        <f>B162</f>
        <v>151.66999999999999</v>
      </c>
      <c r="D162" s="30">
        <v>1800</v>
      </c>
      <c r="E162" s="17"/>
      <c r="F162" s="17"/>
      <c r="G162" s="17"/>
      <c r="H162" s="17"/>
      <c r="I162" s="14"/>
      <c r="J162" s="14"/>
      <c r="K162" s="14"/>
      <c r="L162" s="14"/>
    </row>
    <row r="163" spans="1:12" ht="19.5" customHeight="1" x14ac:dyDescent="0.25">
      <c r="A163" s="17" t="s">
        <v>111</v>
      </c>
      <c r="B163" s="41">
        <v>94.7</v>
      </c>
      <c r="C163" s="41">
        <f>C162+B163</f>
        <v>246.37</v>
      </c>
      <c r="D163" s="30">
        <f>H96</f>
        <v>1602.8767123287671</v>
      </c>
      <c r="E163" s="34"/>
      <c r="F163" s="17"/>
      <c r="G163" s="17"/>
      <c r="H163" s="17"/>
      <c r="I163" s="14"/>
      <c r="J163" s="14"/>
      <c r="K163" s="14"/>
      <c r="L163" s="14"/>
    </row>
    <row r="164" spans="1:12" ht="19.5" customHeight="1" x14ac:dyDescent="0.25">
      <c r="A164" s="17" t="s">
        <v>112</v>
      </c>
      <c r="B164" s="41">
        <v>96.3</v>
      </c>
      <c r="C164" s="41">
        <f t="shared" ref="C164:C165" si="0">C163+B164</f>
        <v>342.67</v>
      </c>
      <c r="D164" s="30">
        <v>1830.41</v>
      </c>
      <c r="E164" s="34"/>
      <c r="F164" s="17"/>
      <c r="G164" s="17"/>
      <c r="H164" s="17"/>
      <c r="I164" s="14"/>
      <c r="J164" s="14"/>
      <c r="K164" s="14"/>
      <c r="L164" s="14"/>
    </row>
    <row r="165" spans="1:12" ht="19.5" customHeight="1" x14ac:dyDescent="0.25">
      <c r="A165" s="17" t="s">
        <v>113</v>
      </c>
      <c r="B165" s="41">
        <v>151.66999999999999</v>
      </c>
      <c r="C165" s="41">
        <f t="shared" si="0"/>
        <v>494.34000000000003</v>
      </c>
      <c r="D165" s="30">
        <v>3000</v>
      </c>
      <c r="E165" s="34"/>
      <c r="F165" s="17"/>
      <c r="G165" s="17"/>
      <c r="H165" s="17"/>
      <c r="I165" s="14"/>
      <c r="J165" s="14"/>
      <c r="K165" s="14"/>
      <c r="L165" s="14"/>
    </row>
    <row r="168" spans="1:12" x14ac:dyDescent="0.25">
      <c r="C168" s="32" t="s">
        <v>114</v>
      </c>
    </row>
    <row r="170" spans="1:12" x14ac:dyDescent="0.25">
      <c r="C170" s="12" t="s">
        <v>115</v>
      </c>
      <c r="E170" s="35">
        <v>1400</v>
      </c>
      <c r="F170" s="35">
        <v>130</v>
      </c>
      <c r="G170" s="35">
        <f>E170/F170</f>
        <v>10.76923076923077</v>
      </c>
    </row>
    <row r="171" spans="1:12" x14ac:dyDescent="0.25">
      <c r="C171" s="12" t="s">
        <v>116</v>
      </c>
      <c r="E171" s="35">
        <f>F171*G171</f>
        <v>118.46153846153848</v>
      </c>
      <c r="F171" s="35">
        <v>10</v>
      </c>
      <c r="G171" s="35">
        <f>G170*1.1</f>
        <v>11.846153846153848</v>
      </c>
    </row>
    <row r="172" spans="1:12" x14ac:dyDescent="0.25">
      <c r="E172" s="35">
        <f>E170+E171</f>
        <v>1518.4615384615386</v>
      </c>
      <c r="F172" s="56"/>
      <c r="G172" s="56"/>
    </row>
  </sheetData>
  <mergeCells count="136">
    <mergeCell ref="B18:B20"/>
    <mergeCell ref="B17:J17"/>
    <mergeCell ref="B21:B22"/>
    <mergeCell ref="I152:J153"/>
    <mergeCell ref="D159:D160"/>
    <mergeCell ref="E159:E160"/>
    <mergeCell ref="F159:F160"/>
    <mergeCell ref="H159:H160"/>
    <mergeCell ref="C152:C153"/>
    <mergeCell ref="D152:D153"/>
    <mergeCell ref="E152:E153"/>
    <mergeCell ref="F152:F153"/>
    <mergeCell ref="G152:G153"/>
    <mergeCell ref="H152:H153"/>
    <mergeCell ref="I123:J124"/>
    <mergeCell ref="C148:J148"/>
    <mergeCell ref="C149:C151"/>
    <mergeCell ref="D149:D151"/>
    <mergeCell ref="F123:F124"/>
    <mergeCell ref="G123:G124"/>
    <mergeCell ref="H123:H124"/>
    <mergeCell ref="H149:H151"/>
    <mergeCell ref="I149:J151"/>
    <mergeCell ref="E150:E151"/>
    <mergeCell ref="A159:A160"/>
    <mergeCell ref="B159:B160"/>
    <mergeCell ref="J159:J161"/>
    <mergeCell ref="K159:K161"/>
    <mergeCell ref="L159:L161"/>
    <mergeCell ref="C159:C160"/>
    <mergeCell ref="I159:I161"/>
    <mergeCell ref="J102:K103"/>
    <mergeCell ref="C119:J119"/>
    <mergeCell ref="C120:C122"/>
    <mergeCell ref="D120:D122"/>
    <mergeCell ref="F120:F122"/>
    <mergeCell ref="G120:G122"/>
    <mergeCell ref="H120:H122"/>
    <mergeCell ref="I120:J122"/>
    <mergeCell ref="E121:E122"/>
    <mergeCell ref="D102:D103"/>
    <mergeCell ref="E102:E103"/>
    <mergeCell ref="F102:F103"/>
    <mergeCell ref="G102:G103"/>
    <mergeCell ref="H102:H103"/>
    <mergeCell ref="I102:I103"/>
    <mergeCell ref="F149:F151"/>
    <mergeCell ref="G149:G151"/>
    <mergeCell ref="C123:C124"/>
    <mergeCell ref="D123:D124"/>
    <mergeCell ref="E123:E124"/>
    <mergeCell ref="D98:K98"/>
    <mergeCell ref="D99:D101"/>
    <mergeCell ref="E99:E101"/>
    <mergeCell ref="G99:G101"/>
    <mergeCell ref="H99:H101"/>
    <mergeCell ref="I99:I101"/>
    <mergeCell ref="J99:K101"/>
    <mergeCell ref="F100:F101"/>
    <mergeCell ref="J74:K75"/>
    <mergeCell ref="D91:E91"/>
    <mergeCell ref="D92:E92"/>
    <mergeCell ref="D94:E94"/>
    <mergeCell ref="D96:E96"/>
    <mergeCell ref="D74:D75"/>
    <mergeCell ref="E74:E75"/>
    <mergeCell ref="F74:F75"/>
    <mergeCell ref="G74:G75"/>
    <mergeCell ref="H74:H75"/>
    <mergeCell ref="I74:I75"/>
    <mergeCell ref="D93:F93"/>
    <mergeCell ref="D70:K70"/>
    <mergeCell ref="D71:D73"/>
    <mergeCell ref="E71:E73"/>
    <mergeCell ref="G71:G73"/>
    <mergeCell ref="H71:H73"/>
    <mergeCell ref="I71:I73"/>
    <mergeCell ref="J71:K73"/>
    <mergeCell ref="F72:F73"/>
    <mergeCell ref="I52:J53"/>
    <mergeCell ref="D63:E63"/>
    <mergeCell ref="D64:E64"/>
    <mergeCell ref="D65:E65"/>
    <mergeCell ref="D66:E66"/>
    <mergeCell ref="D68:E68"/>
    <mergeCell ref="C52:C53"/>
    <mergeCell ref="D52:D53"/>
    <mergeCell ref="E52:E53"/>
    <mergeCell ref="F52:F53"/>
    <mergeCell ref="G52:G53"/>
    <mergeCell ref="H52:H53"/>
    <mergeCell ref="C45:D45"/>
    <mergeCell ref="C46:D46"/>
    <mergeCell ref="C48:J48"/>
    <mergeCell ref="C49:C51"/>
    <mergeCell ref="D49:D51"/>
    <mergeCell ref="F49:F51"/>
    <mergeCell ref="G49:G51"/>
    <mergeCell ref="H49:H51"/>
    <mergeCell ref="I49:J51"/>
    <mergeCell ref="E50:E51"/>
    <mergeCell ref="H36:H37"/>
    <mergeCell ref="I36:J37"/>
    <mergeCell ref="B40:C40"/>
    <mergeCell ref="C42:D42"/>
    <mergeCell ref="C43:D43"/>
    <mergeCell ref="C44:D44"/>
    <mergeCell ref="E34:E35"/>
    <mergeCell ref="C36:C37"/>
    <mergeCell ref="D36:D37"/>
    <mergeCell ref="E36:E37"/>
    <mergeCell ref="F36:F37"/>
    <mergeCell ref="G36:G37"/>
    <mergeCell ref="B24:C24"/>
    <mergeCell ref="C29:E29"/>
    <mergeCell ref="C32:J32"/>
    <mergeCell ref="C33:C35"/>
    <mergeCell ref="D33:D35"/>
    <mergeCell ref="F33:F35"/>
    <mergeCell ref="G33:G35"/>
    <mergeCell ref="H33:H35"/>
    <mergeCell ref="I33:J35"/>
    <mergeCell ref="C18:C20"/>
    <mergeCell ref="D18:D20"/>
    <mergeCell ref="F18:F20"/>
    <mergeCell ref="G18:G20"/>
    <mergeCell ref="H18:H20"/>
    <mergeCell ref="I18:J20"/>
    <mergeCell ref="E19:E20"/>
    <mergeCell ref="I21:J22"/>
    <mergeCell ref="C21:C22"/>
    <mergeCell ref="D21:D22"/>
    <mergeCell ref="E21:E22"/>
    <mergeCell ref="F21:F22"/>
    <mergeCell ref="G21:G22"/>
    <mergeCell ref="H21:H22"/>
  </mergeCells>
  <printOptions horizontalCentered="1" verticalCentered="1"/>
  <pageMargins left="0.11811023622047245" right="0.11811023622047245" top="0.19685039370078741" bottom="0.19685039370078741" header="0.31496062992125984" footer="0.31496062992125984"/>
  <pageSetup paperSize="9" scale="75" orientation="landscape" horizontalDpi="4294967293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EC6A2-4064-459D-813A-E1501D920999}">
  <dimension ref="B1:J26"/>
  <sheetViews>
    <sheetView topLeftCell="B9" zoomScale="120" zoomScaleNormal="120" workbookViewId="0">
      <selection activeCell="B22" sqref="A22:XFD22"/>
    </sheetView>
  </sheetViews>
  <sheetFormatPr baseColWidth="10" defaultColWidth="11.44140625" defaultRowHeight="13.8" x14ac:dyDescent="0.25"/>
  <cols>
    <col min="1" max="2" width="11.44140625" style="12"/>
    <col min="3" max="3" width="36.5546875" style="12" customWidth="1"/>
    <col min="4" max="4" width="11.88671875" style="12" bestFit="1" customWidth="1"/>
    <col min="5" max="9" width="11.44140625" style="12"/>
    <col min="10" max="10" width="11.88671875" style="12" bestFit="1" customWidth="1"/>
    <col min="11" max="16384" width="11.44140625" style="12"/>
  </cols>
  <sheetData>
    <row r="1" spans="3:10" x14ac:dyDescent="0.25">
      <c r="C1" s="12" t="s">
        <v>117</v>
      </c>
      <c r="D1" s="14">
        <f>'ENONCE 1 '!F3</f>
        <v>0.31940000000000002</v>
      </c>
    </row>
    <row r="2" spans="3:10" x14ac:dyDescent="0.25">
      <c r="C2" s="12" t="s">
        <v>118</v>
      </c>
      <c r="D2" s="14">
        <f>'ENONCE 1 '!F5</f>
        <v>0.32340000000000002</v>
      </c>
    </row>
    <row r="3" spans="3:10" ht="14.4" x14ac:dyDescent="0.3">
      <c r="C3" s="12" t="s">
        <v>119</v>
      </c>
      <c r="D3" s="14">
        <v>11.52</v>
      </c>
      <c r="F3" s="1" t="s">
        <v>35</v>
      </c>
      <c r="G3"/>
      <c r="H3"/>
      <c r="I3"/>
      <c r="J3"/>
    </row>
    <row r="4" spans="3:10" ht="14.4" x14ac:dyDescent="0.3">
      <c r="C4" s="12" t="s">
        <v>120</v>
      </c>
      <c r="D4" s="14">
        <v>11.65</v>
      </c>
      <c r="F4"/>
      <c r="G4" t="s">
        <v>36</v>
      </c>
      <c r="H4"/>
      <c r="I4"/>
      <c r="J4" s="60">
        <v>60</v>
      </c>
    </row>
    <row r="5" spans="3:10" ht="14.4" x14ac:dyDescent="0.3">
      <c r="C5" s="12" t="s">
        <v>46</v>
      </c>
      <c r="D5" s="14" t="str">
        <f>J7</f>
        <v xml:space="preserve">Septembre </v>
      </c>
      <c r="F5"/>
      <c r="G5" s="12" t="s">
        <v>37</v>
      </c>
      <c r="J5" s="61">
        <v>2000</v>
      </c>
    </row>
    <row r="6" spans="3:10" ht="14.4" x14ac:dyDescent="0.3">
      <c r="C6" s="12" t="s">
        <v>16</v>
      </c>
      <c r="D6" s="29">
        <f>J5</f>
        <v>2000</v>
      </c>
      <c r="F6"/>
      <c r="G6" s="12" t="s">
        <v>18</v>
      </c>
      <c r="J6" s="62">
        <v>151.66999999999999</v>
      </c>
    </row>
    <row r="7" spans="3:10" ht="14.4" x14ac:dyDescent="0.3">
      <c r="C7" s="12" t="s">
        <v>121</v>
      </c>
      <c r="D7" s="14"/>
      <c r="F7"/>
      <c r="G7" s="12" t="s">
        <v>40</v>
      </c>
      <c r="J7" s="62" t="s">
        <v>41</v>
      </c>
    </row>
    <row r="8" spans="3:10" ht="14.4" x14ac:dyDescent="0.3">
      <c r="C8" s="12" t="s">
        <v>122</v>
      </c>
      <c r="D8" s="14"/>
      <c r="F8"/>
    </row>
    <row r="9" spans="3:10" x14ac:dyDescent="0.25">
      <c r="C9" s="12" t="s">
        <v>123</v>
      </c>
      <c r="D9" s="14"/>
    </row>
    <row r="10" spans="3:10" x14ac:dyDescent="0.25">
      <c r="C10" s="12" t="s">
        <v>124</v>
      </c>
      <c r="D10" s="14">
        <f>J6</f>
        <v>151.66999999999999</v>
      </c>
    </row>
    <row r="11" spans="3:10" x14ac:dyDescent="0.25">
      <c r="C11" s="12" t="s">
        <v>125</v>
      </c>
      <c r="D11" s="14"/>
    </row>
    <row r="15" spans="3:10" ht="14.4" x14ac:dyDescent="0.25">
      <c r="C15" s="125" t="s">
        <v>126</v>
      </c>
      <c r="D15" s="125"/>
      <c r="E15" s="125"/>
      <c r="F15" s="125"/>
      <c r="G15" s="125"/>
      <c r="H15" s="125"/>
      <c r="I15" s="125"/>
      <c r="J15" s="125"/>
    </row>
    <row r="16" spans="3:10" ht="30.75" customHeight="1" x14ac:dyDescent="0.25">
      <c r="C16" s="126" t="s">
        <v>18</v>
      </c>
      <c r="D16" s="126" t="s">
        <v>19</v>
      </c>
      <c r="E16" s="2" t="s">
        <v>20</v>
      </c>
      <c r="F16" s="125" t="s">
        <v>21</v>
      </c>
      <c r="G16" s="125" t="s">
        <v>22</v>
      </c>
      <c r="H16" s="125" t="s">
        <v>127</v>
      </c>
      <c r="I16" s="125" t="s">
        <v>43</v>
      </c>
      <c r="J16" s="125"/>
    </row>
    <row r="17" spans="2:10" x14ac:dyDescent="0.25">
      <c r="C17" s="127"/>
      <c r="D17" s="127"/>
      <c r="E17" s="127" t="s">
        <v>25</v>
      </c>
      <c r="F17" s="125"/>
      <c r="G17" s="125"/>
      <c r="H17" s="125"/>
      <c r="I17" s="125"/>
      <c r="J17" s="125"/>
    </row>
    <row r="18" spans="2:10" ht="41.25" customHeight="1" x14ac:dyDescent="0.25">
      <c r="C18" s="128"/>
      <c r="D18" s="128"/>
      <c r="E18" s="128"/>
      <c r="F18" s="125"/>
      <c r="G18" s="125"/>
      <c r="H18" s="125"/>
      <c r="I18" s="125"/>
      <c r="J18" s="125"/>
    </row>
    <row r="19" spans="2:10" x14ac:dyDescent="0.25">
      <c r="C19" s="127">
        <f>D10</f>
        <v>151.66999999999999</v>
      </c>
      <c r="D19" s="127">
        <f>D4</f>
        <v>11.65</v>
      </c>
      <c r="E19" s="127">
        <f>C19*D19*1.6</f>
        <v>2827.1288</v>
      </c>
      <c r="F19" s="133">
        <f>E19/D6</f>
        <v>1.4135644000000001</v>
      </c>
      <c r="G19" s="133">
        <f>F19-1</f>
        <v>0.41356440000000005</v>
      </c>
      <c r="H19" s="127">
        <f>ROUND(G19*D2/0.6,4)</f>
        <v>0.22289999999999999</v>
      </c>
      <c r="I19" s="129">
        <f>ROUND(H19*D6,2)</f>
        <v>445.8</v>
      </c>
      <c r="J19" s="130"/>
    </row>
    <row r="20" spans="2:10" x14ac:dyDescent="0.25">
      <c r="C20" s="128"/>
      <c r="D20" s="128"/>
      <c r="E20" s="128"/>
      <c r="F20" s="128"/>
      <c r="G20" s="128"/>
      <c r="H20" s="128"/>
      <c r="I20" s="131"/>
      <c r="J20" s="132"/>
    </row>
    <row r="22" spans="2:10" customFormat="1" ht="14.4" x14ac:dyDescent="0.3">
      <c r="B22" s="171" t="s">
        <v>141</v>
      </c>
      <c r="C22" t="s">
        <v>142</v>
      </c>
    </row>
    <row r="23" spans="2:10" customFormat="1" ht="14.4" x14ac:dyDescent="0.3"/>
    <row r="24" spans="2:10" customFormat="1" ht="14.4" x14ac:dyDescent="0.3">
      <c r="C24" t="s">
        <v>143</v>
      </c>
      <c r="E24" t="s">
        <v>144</v>
      </c>
      <c r="F24" s="12"/>
      <c r="I24" t="s">
        <v>145</v>
      </c>
    </row>
    <row r="25" spans="2:10" customFormat="1" ht="14.4" x14ac:dyDescent="0.3">
      <c r="E25" t="s">
        <v>146</v>
      </c>
      <c r="F25" s="12"/>
      <c r="I25" t="s">
        <v>147</v>
      </c>
    </row>
    <row r="26" spans="2:10" customFormat="1" ht="14.4" x14ac:dyDescent="0.3">
      <c r="C26" t="s">
        <v>148</v>
      </c>
    </row>
  </sheetData>
  <mergeCells count="15">
    <mergeCell ref="I19:J20"/>
    <mergeCell ref="C19:C20"/>
    <mergeCell ref="D19:D20"/>
    <mergeCell ref="E19:E20"/>
    <mergeCell ref="F19:F20"/>
    <mergeCell ref="G19:G20"/>
    <mergeCell ref="H19:H20"/>
    <mergeCell ref="C15:J15"/>
    <mergeCell ref="C16:C18"/>
    <mergeCell ref="D16:D18"/>
    <mergeCell ref="F16:F18"/>
    <mergeCell ref="G16:G18"/>
    <mergeCell ref="H16:H18"/>
    <mergeCell ref="I16:J18"/>
    <mergeCell ref="E17:E18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0B566-74E3-4CBA-9667-75B6BA6943B2}">
  <dimension ref="B1:L20"/>
  <sheetViews>
    <sheetView topLeftCell="A2" workbookViewId="0">
      <selection activeCell="H19" sqref="H19:I20"/>
    </sheetView>
  </sheetViews>
  <sheetFormatPr baseColWidth="10" defaultColWidth="11.44140625" defaultRowHeight="13.8" x14ac:dyDescent="0.25"/>
  <cols>
    <col min="1" max="1" width="11.44140625" style="12"/>
    <col min="2" max="2" width="35.88671875" style="12" bestFit="1" customWidth="1"/>
    <col min="3" max="16384" width="11.44140625" style="12"/>
  </cols>
  <sheetData>
    <row r="1" spans="2:12" x14ac:dyDescent="0.25">
      <c r="E1" s="102" t="s">
        <v>44</v>
      </c>
      <c r="F1" s="102"/>
    </row>
    <row r="2" spans="2:12" x14ac:dyDescent="0.25">
      <c r="B2" s="12" t="s">
        <v>117</v>
      </c>
      <c r="C2" s="14">
        <f>'APPLICATION 1 CORRIGE '!D1</f>
        <v>0.31940000000000002</v>
      </c>
    </row>
    <row r="3" spans="2:12" x14ac:dyDescent="0.25">
      <c r="B3" s="12" t="s">
        <v>118</v>
      </c>
      <c r="C3" s="14">
        <f>'APPLICATION 1 CORRIGE '!D2</f>
        <v>0.32340000000000002</v>
      </c>
      <c r="G3" s="24" t="s">
        <v>45</v>
      </c>
      <c r="J3" s="22">
        <v>70</v>
      </c>
    </row>
    <row r="4" spans="2:12" x14ac:dyDescent="0.25">
      <c r="B4" s="12" t="s">
        <v>128</v>
      </c>
      <c r="C4" s="14">
        <v>11.52</v>
      </c>
      <c r="G4" s="12" t="s">
        <v>46</v>
      </c>
      <c r="J4" s="22" t="s">
        <v>41</v>
      </c>
    </row>
    <row r="5" spans="2:12" x14ac:dyDescent="0.25">
      <c r="B5" s="12" t="s">
        <v>120</v>
      </c>
      <c r="C5" s="14">
        <v>11.65</v>
      </c>
      <c r="G5" s="12" t="s">
        <v>48</v>
      </c>
      <c r="J5" s="23">
        <v>1800</v>
      </c>
      <c r="K5" s="12">
        <v>151.66999999999999</v>
      </c>
      <c r="L5" s="12">
        <f>ROUND(J5/K5,3)</f>
        <v>11.868</v>
      </c>
    </row>
    <row r="6" spans="2:12" x14ac:dyDescent="0.25">
      <c r="B6" s="12" t="s">
        <v>46</v>
      </c>
      <c r="C6" s="14" t="str">
        <f>J4</f>
        <v xml:space="preserve">Septembre </v>
      </c>
      <c r="G6" s="24" t="s">
        <v>49</v>
      </c>
      <c r="H6" s="24"/>
      <c r="I6" s="31"/>
      <c r="J6" s="23">
        <f>ROUND(K6*L6,3)</f>
        <v>226.24299999999999</v>
      </c>
      <c r="K6" s="12">
        <v>17.329999999999998</v>
      </c>
      <c r="L6" s="12">
        <f>ROUND(L5*1.1,3)</f>
        <v>13.055</v>
      </c>
    </row>
    <row r="7" spans="2:12" x14ac:dyDescent="0.25">
      <c r="B7" s="12" t="s">
        <v>16</v>
      </c>
      <c r="C7" s="29">
        <f>J7</f>
        <v>2026.2429999999999</v>
      </c>
      <c r="G7" s="12" t="s">
        <v>50</v>
      </c>
      <c r="J7" s="23">
        <f>SUM(J5:J6)</f>
        <v>2026.2429999999999</v>
      </c>
      <c r="K7" s="12">
        <v>169</v>
      </c>
    </row>
    <row r="8" spans="2:12" x14ac:dyDescent="0.25">
      <c r="B8" s="12" t="s">
        <v>121</v>
      </c>
      <c r="C8" s="29">
        <f>J7</f>
        <v>2026.2429999999999</v>
      </c>
    </row>
    <row r="9" spans="2:12" x14ac:dyDescent="0.25">
      <c r="B9" s="12" t="s">
        <v>122</v>
      </c>
      <c r="C9" s="14"/>
    </row>
    <row r="10" spans="2:12" x14ac:dyDescent="0.25">
      <c r="B10" s="12" t="s">
        <v>123</v>
      </c>
      <c r="C10" s="14"/>
      <c r="G10" s="12" t="s">
        <v>129</v>
      </c>
    </row>
    <row r="11" spans="2:12" x14ac:dyDescent="0.25">
      <c r="B11" s="12" t="s">
        <v>124</v>
      </c>
      <c r="C11" s="14">
        <v>151.66999999999999</v>
      </c>
    </row>
    <row r="12" spans="2:12" x14ac:dyDescent="0.25">
      <c r="B12" s="12" t="s">
        <v>125</v>
      </c>
      <c r="C12" s="14">
        <v>17.329999999999998</v>
      </c>
    </row>
    <row r="13" spans="2:12" x14ac:dyDescent="0.25">
      <c r="B13" s="12" t="s">
        <v>130</v>
      </c>
      <c r="C13" s="14">
        <f>J3</f>
        <v>70</v>
      </c>
    </row>
    <row r="15" spans="2:12" x14ac:dyDescent="0.25">
      <c r="B15" s="85" t="s">
        <v>131</v>
      </c>
      <c r="C15" s="85"/>
      <c r="D15" s="85"/>
      <c r="E15" s="85"/>
      <c r="F15" s="85"/>
      <c r="G15" s="85"/>
      <c r="H15" s="85"/>
      <c r="I15" s="85"/>
    </row>
    <row r="16" spans="2:12" x14ac:dyDescent="0.25">
      <c r="B16" s="94" t="s">
        <v>139</v>
      </c>
      <c r="C16" s="94" t="s">
        <v>19</v>
      </c>
      <c r="D16" s="15" t="s">
        <v>20</v>
      </c>
      <c r="E16" s="85" t="s">
        <v>21</v>
      </c>
      <c r="F16" s="85" t="s">
        <v>22</v>
      </c>
      <c r="G16" s="85" t="s">
        <v>51</v>
      </c>
      <c r="H16" s="85" t="s">
        <v>43</v>
      </c>
      <c r="I16" s="85"/>
    </row>
    <row r="17" spans="2:9" x14ac:dyDescent="0.25">
      <c r="B17" s="87"/>
      <c r="C17" s="87"/>
      <c r="D17" s="87" t="s">
        <v>25</v>
      </c>
      <c r="E17" s="85"/>
      <c r="F17" s="85"/>
      <c r="G17" s="85"/>
      <c r="H17" s="85"/>
      <c r="I17" s="85"/>
    </row>
    <row r="18" spans="2:9" ht="61.5" customHeight="1" x14ac:dyDescent="0.25">
      <c r="B18" s="88"/>
      <c r="C18" s="88"/>
      <c r="D18" s="88"/>
      <c r="E18" s="85"/>
      <c r="F18" s="85"/>
      <c r="G18" s="85"/>
      <c r="H18" s="85"/>
      <c r="I18" s="85"/>
    </row>
    <row r="19" spans="2:9" x14ac:dyDescent="0.25">
      <c r="B19" s="87">
        <f>C11+C12</f>
        <v>169</v>
      </c>
      <c r="C19" s="87">
        <f>C5</f>
        <v>11.65</v>
      </c>
      <c r="D19" s="87">
        <f>1.6*C5*B19</f>
        <v>3150.1600000000003</v>
      </c>
      <c r="E19" s="134">
        <f>D19/C7</f>
        <v>1.5546802629299648</v>
      </c>
      <c r="F19" s="134">
        <f>E19-1</f>
        <v>0.55468026292996475</v>
      </c>
      <c r="G19" s="87">
        <f>ROUND(F19*C3/0.6,4)</f>
        <v>0.29899999999999999</v>
      </c>
      <c r="H19" s="104">
        <f>ROUND(G19*C7,2)</f>
        <v>605.85</v>
      </c>
      <c r="I19" s="105"/>
    </row>
    <row r="20" spans="2:9" x14ac:dyDescent="0.25">
      <c r="B20" s="88"/>
      <c r="C20" s="88"/>
      <c r="D20" s="88"/>
      <c r="E20" s="88"/>
      <c r="F20" s="88"/>
      <c r="G20" s="88"/>
      <c r="H20" s="106"/>
      <c r="I20" s="107"/>
    </row>
  </sheetData>
  <mergeCells count="16">
    <mergeCell ref="H19:I20"/>
    <mergeCell ref="B19:B20"/>
    <mergeCell ref="C19:C20"/>
    <mergeCell ref="D19:D20"/>
    <mergeCell ref="E19:E20"/>
    <mergeCell ref="F19:F20"/>
    <mergeCell ref="G19:G20"/>
    <mergeCell ref="E1:F1"/>
    <mergeCell ref="B15:I15"/>
    <mergeCell ref="B16:B18"/>
    <mergeCell ref="C16:C18"/>
    <mergeCell ref="E16:E18"/>
    <mergeCell ref="F16:F18"/>
    <mergeCell ref="G16:G18"/>
    <mergeCell ref="H16:I18"/>
    <mergeCell ref="D17:D18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4A8AE-2640-4E6E-8B4E-65AF556AA614}">
  <dimension ref="B1:K26"/>
  <sheetViews>
    <sheetView tabSelected="1" topLeftCell="A5" workbookViewId="0">
      <selection activeCell="B19" sqref="B19:B20"/>
    </sheetView>
  </sheetViews>
  <sheetFormatPr baseColWidth="10" defaultColWidth="11.44140625" defaultRowHeight="13.8" x14ac:dyDescent="0.25"/>
  <cols>
    <col min="1" max="1" width="11.44140625" style="12"/>
    <col min="2" max="2" width="35.88671875" style="12" bestFit="1" customWidth="1"/>
    <col min="3" max="16384" width="11.44140625" style="12"/>
  </cols>
  <sheetData>
    <row r="1" spans="2:11" ht="14.4" x14ac:dyDescent="0.3">
      <c r="E1" s="135" t="s">
        <v>52</v>
      </c>
      <c r="F1" s="135"/>
      <c r="G1"/>
      <c r="H1"/>
      <c r="I1"/>
      <c r="J1"/>
      <c r="K1"/>
    </row>
    <row r="2" spans="2:11" ht="14.4" x14ac:dyDescent="0.3">
      <c r="B2" s="12" t="s">
        <v>117</v>
      </c>
      <c r="C2" s="14">
        <f>'APPLICATION 2 CORRIGE '!C2</f>
        <v>0.31940000000000002</v>
      </c>
      <c r="E2"/>
    </row>
    <row r="3" spans="2:11" ht="14.4" x14ac:dyDescent="0.3">
      <c r="B3" s="12" t="s">
        <v>118</v>
      </c>
      <c r="C3" s="65">
        <f>'APPLICATION 2 CORRIGE '!C3</f>
        <v>0.32340000000000002</v>
      </c>
      <c r="E3"/>
      <c r="F3" t="s">
        <v>12</v>
      </c>
      <c r="G3"/>
      <c r="H3"/>
      <c r="I3"/>
      <c r="J3" s="60">
        <v>80</v>
      </c>
      <c r="K3"/>
    </row>
    <row r="4" spans="2:11" ht="14.4" x14ac:dyDescent="0.3">
      <c r="B4" s="12" t="str">
        <f>'APPLICATION 2 CORRIGE '!B4</f>
        <v>SMIC Horaire 01/05</v>
      </c>
      <c r="C4" s="64">
        <f>'APPLICATION 2 CORRIGE '!C4</f>
        <v>11.52</v>
      </c>
      <c r="E4"/>
      <c r="F4" s="26" t="s">
        <v>48</v>
      </c>
      <c r="G4" s="26"/>
      <c r="H4" s="3">
        <v>151.66999999999999</v>
      </c>
      <c r="I4" s="4">
        <f>J4/H4</f>
        <v>12.527197204457046</v>
      </c>
      <c r="J4" s="68">
        <v>1900</v>
      </c>
      <c r="K4"/>
    </row>
    <row r="5" spans="2:11" ht="14.4" x14ac:dyDescent="0.3">
      <c r="B5" s="12" t="str">
        <f>'APPLICATION 2 CORRIGE '!B5</f>
        <v>SMIC Horaire 01/01/2024</v>
      </c>
      <c r="C5" s="64">
        <f>'APPLICATION 2 CORRIGE '!C5</f>
        <v>11.65</v>
      </c>
      <c r="E5"/>
      <c r="F5" s="26" t="s">
        <v>53</v>
      </c>
      <c r="G5" s="26"/>
      <c r="H5" s="5"/>
      <c r="I5" s="4"/>
      <c r="J5" s="68">
        <f>-1900*10/20</f>
        <v>-950</v>
      </c>
      <c r="K5" t="s">
        <v>54</v>
      </c>
    </row>
    <row r="6" spans="2:11" ht="14.4" x14ac:dyDescent="0.3">
      <c r="B6" s="12" t="s">
        <v>46</v>
      </c>
      <c r="C6" s="67" t="s">
        <v>110</v>
      </c>
      <c r="E6"/>
      <c r="F6" s="27" t="s">
        <v>55</v>
      </c>
      <c r="G6" s="27"/>
      <c r="H6" s="5"/>
      <c r="I6" s="4"/>
      <c r="J6" s="68">
        <f>0.9*J4*10/20</f>
        <v>855</v>
      </c>
      <c r="K6" t="s">
        <v>56</v>
      </c>
    </row>
    <row r="7" spans="2:11" ht="14.4" x14ac:dyDescent="0.3">
      <c r="B7" s="12" t="s">
        <v>16</v>
      </c>
      <c r="C7" s="66">
        <f>J8</f>
        <v>1586.3698630136987</v>
      </c>
      <c r="E7"/>
      <c r="F7" s="7" t="s">
        <v>57</v>
      </c>
      <c r="G7" s="7"/>
      <c r="H7" s="5"/>
      <c r="I7" s="4"/>
      <c r="J7" s="69">
        <f>-7*1900*3*0.5/91.25</f>
        <v>-218.63013698630138</v>
      </c>
      <c r="K7" t="s">
        <v>58</v>
      </c>
    </row>
    <row r="8" spans="2:11" ht="14.4" x14ac:dyDescent="0.3">
      <c r="B8" s="12" t="s">
        <v>121</v>
      </c>
      <c r="C8" s="29">
        <f>J4</f>
        <v>1900</v>
      </c>
      <c r="F8" s="26" t="s">
        <v>59</v>
      </c>
      <c r="G8" s="26"/>
      <c r="H8" s="6"/>
      <c r="I8" s="28"/>
      <c r="J8" s="70">
        <f>SUM(J4:J7)</f>
        <v>1586.3698630136987</v>
      </c>
      <c r="K8"/>
    </row>
    <row r="9" spans="2:11" x14ac:dyDescent="0.25">
      <c r="B9" s="12" t="s">
        <v>122</v>
      </c>
      <c r="C9" s="14"/>
    </row>
    <row r="10" spans="2:11" x14ac:dyDescent="0.25">
      <c r="B10" s="12" t="s">
        <v>123</v>
      </c>
      <c r="C10" s="14"/>
    </row>
    <row r="11" spans="2:11" x14ac:dyDescent="0.25">
      <c r="B11" s="12" t="s">
        <v>124</v>
      </c>
      <c r="C11" s="14">
        <v>151.66999999999999</v>
      </c>
    </row>
    <row r="12" spans="2:11" x14ac:dyDescent="0.25">
      <c r="B12" s="12" t="s">
        <v>125</v>
      </c>
      <c r="C12" s="14"/>
    </row>
    <row r="13" spans="2:11" x14ac:dyDescent="0.25">
      <c r="B13" s="12" t="s">
        <v>130</v>
      </c>
      <c r="C13" s="14">
        <v>80</v>
      </c>
    </row>
    <row r="15" spans="2:11" x14ac:dyDescent="0.25">
      <c r="B15" s="85" t="s">
        <v>132</v>
      </c>
      <c r="C15" s="85"/>
      <c r="D15" s="85"/>
      <c r="E15" s="85"/>
      <c r="F15" s="85"/>
      <c r="G15" s="85"/>
      <c r="H15" s="85"/>
      <c r="I15" s="85"/>
    </row>
    <row r="16" spans="2:11" x14ac:dyDescent="0.25">
      <c r="B16" s="94" t="s">
        <v>139</v>
      </c>
      <c r="C16" s="94" t="s">
        <v>19</v>
      </c>
      <c r="D16" s="15" t="s">
        <v>20</v>
      </c>
      <c r="E16" s="85" t="s">
        <v>21</v>
      </c>
      <c r="F16" s="85" t="s">
        <v>22</v>
      </c>
      <c r="G16" s="85" t="s">
        <v>51</v>
      </c>
      <c r="H16" s="85" t="s">
        <v>43</v>
      </c>
      <c r="I16" s="85"/>
    </row>
    <row r="17" spans="2:9" x14ac:dyDescent="0.25">
      <c r="B17" s="87"/>
      <c r="C17" s="87"/>
      <c r="D17" s="87" t="s">
        <v>25</v>
      </c>
      <c r="E17" s="85"/>
      <c r="F17" s="85"/>
      <c r="G17" s="85"/>
      <c r="H17" s="85"/>
      <c r="I17" s="85"/>
    </row>
    <row r="18" spans="2:9" ht="52.5" customHeight="1" x14ac:dyDescent="0.25">
      <c r="B18" s="88"/>
      <c r="C18" s="88"/>
      <c r="D18" s="88"/>
      <c r="E18" s="85"/>
      <c r="F18" s="85"/>
      <c r="G18" s="85"/>
      <c r="H18" s="85"/>
      <c r="I18" s="85"/>
    </row>
    <row r="19" spans="2:9" x14ac:dyDescent="0.25">
      <c r="B19" s="87">
        <f>C11*J8/J4</f>
        <v>126.63406164383562</v>
      </c>
      <c r="C19" s="87">
        <f>C5</f>
        <v>11.65</v>
      </c>
      <c r="D19" s="87">
        <f>1.6*C5*B19</f>
        <v>2360.4589090410959</v>
      </c>
      <c r="E19" s="134">
        <f>D19/C7</f>
        <v>1.4879625263157894</v>
      </c>
      <c r="F19" s="134">
        <f>E19-1</f>
        <v>0.4879625263157894</v>
      </c>
      <c r="G19" s="87">
        <f>ROUND(F19*C3/0.6,4)</f>
        <v>0.26300000000000001</v>
      </c>
      <c r="H19" s="136">
        <f>ROUND(G19*C7,2)</f>
        <v>417.22</v>
      </c>
      <c r="I19" s="137"/>
    </row>
    <row r="20" spans="2:9" x14ac:dyDescent="0.25">
      <c r="B20" s="88"/>
      <c r="C20" s="88"/>
      <c r="D20" s="88"/>
      <c r="E20" s="88"/>
      <c r="F20" s="88"/>
      <c r="G20" s="88"/>
      <c r="H20" s="138"/>
      <c r="I20" s="139"/>
    </row>
    <row r="22" spans="2:9" x14ac:dyDescent="0.25">
      <c r="B22" s="12" t="s">
        <v>61</v>
      </c>
    </row>
    <row r="24" spans="2:9" x14ac:dyDescent="0.25">
      <c r="B24" s="12" t="s">
        <v>62</v>
      </c>
    </row>
    <row r="26" spans="2:9" x14ac:dyDescent="0.25">
      <c r="B26" s="12" t="s">
        <v>63</v>
      </c>
    </row>
  </sheetData>
  <mergeCells count="16">
    <mergeCell ref="H19:I20"/>
    <mergeCell ref="B19:B20"/>
    <mergeCell ref="C19:C20"/>
    <mergeCell ref="D19:D20"/>
    <mergeCell ref="E19:E20"/>
    <mergeCell ref="F19:F20"/>
    <mergeCell ref="G19:G20"/>
    <mergeCell ref="E1:F1"/>
    <mergeCell ref="B15:I15"/>
    <mergeCell ref="B16:B18"/>
    <mergeCell ref="C16:C18"/>
    <mergeCell ref="E16:E18"/>
    <mergeCell ref="F16:F18"/>
    <mergeCell ref="G16:G18"/>
    <mergeCell ref="H16:I18"/>
    <mergeCell ref="D17:D18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8223F-BCD5-4E11-B2A9-D2FD9E71EC30}">
  <dimension ref="B1:O29"/>
  <sheetViews>
    <sheetView topLeftCell="B8" workbookViewId="0">
      <selection activeCell="D19" sqref="D19:D20"/>
    </sheetView>
  </sheetViews>
  <sheetFormatPr baseColWidth="10" defaultColWidth="11.44140625" defaultRowHeight="13.8" x14ac:dyDescent="0.25"/>
  <cols>
    <col min="1" max="1" width="5.88671875" style="12" customWidth="1"/>
    <col min="2" max="2" width="35.88671875" style="12" bestFit="1" customWidth="1"/>
    <col min="3" max="5" width="11.44140625" style="12"/>
    <col min="6" max="6" width="15.88671875" style="12" customWidth="1"/>
    <col min="7" max="16384" width="11.44140625" style="12"/>
  </cols>
  <sheetData>
    <row r="1" spans="2:15" ht="14.4" x14ac:dyDescent="0.3">
      <c r="E1"/>
      <c r="F1" s="32" t="s">
        <v>65</v>
      </c>
      <c r="G1" s="12" t="s">
        <v>66</v>
      </c>
      <c r="N1"/>
      <c r="O1"/>
    </row>
    <row r="2" spans="2:15" ht="14.4" x14ac:dyDescent="0.3">
      <c r="B2" s="12" t="s">
        <v>117</v>
      </c>
      <c r="C2" s="14">
        <f>'APPLICATION 3 CORRIGE '!C2</f>
        <v>0.31940000000000002</v>
      </c>
      <c r="E2"/>
      <c r="N2"/>
      <c r="O2"/>
    </row>
    <row r="3" spans="2:15" ht="14.4" x14ac:dyDescent="0.3">
      <c r="B3" s="12" t="s">
        <v>118</v>
      </c>
      <c r="C3" s="65">
        <f>'APPLICATION 3 CORRIGE '!C3</f>
        <v>0.32340000000000002</v>
      </c>
      <c r="E3"/>
      <c r="G3" s="140" t="s">
        <v>133</v>
      </c>
      <c r="H3" s="140"/>
      <c r="I3" s="140"/>
      <c r="J3" s="140"/>
      <c r="K3" s="22" t="s">
        <v>113</v>
      </c>
      <c r="N3"/>
      <c r="O3"/>
    </row>
    <row r="4" spans="2:15" ht="14.4" x14ac:dyDescent="0.3">
      <c r="B4" s="12" t="str">
        <f>'APPLICATION 3 CORRIGE '!B4</f>
        <v>SMIC Horaire 01/05</v>
      </c>
      <c r="C4" s="64">
        <f>'APPLICATION 3 CORRIGE '!C4</f>
        <v>11.52</v>
      </c>
      <c r="E4"/>
      <c r="G4" s="140" t="s">
        <v>36</v>
      </c>
      <c r="H4" s="140"/>
      <c r="I4" s="140"/>
      <c r="J4" s="140"/>
      <c r="K4" s="22">
        <v>30</v>
      </c>
      <c r="N4"/>
      <c r="O4"/>
    </row>
    <row r="5" spans="2:15" ht="14.4" x14ac:dyDescent="0.3">
      <c r="B5" s="12" t="str">
        <f>'APPLICATION 3 CORRIGE '!B5</f>
        <v>SMIC Horaire 01/01/2024</v>
      </c>
      <c r="C5" s="64">
        <f>'APPLICATION 3 CORRIGE '!C5</f>
        <v>11.65</v>
      </c>
      <c r="E5"/>
      <c r="G5" s="95" t="s">
        <v>48</v>
      </c>
      <c r="H5" s="95"/>
      <c r="I5" s="35">
        <v>151.66999999999999</v>
      </c>
      <c r="J5" s="36">
        <f>K5/I5</f>
        <v>11.867871035801413</v>
      </c>
      <c r="K5" s="71">
        <v>1800</v>
      </c>
      <c r="N5"/>
      <c r="O5"/>
    </row>
    <row r="6" spans="2:15" ht="14.4" x14ac:dyDescent="0.3">
      <c r="B6" s="12" t="s">
        <v>46</v>
      </c>
      <c r="C6" s="19" t="str">
        <f>K3</f>
        <v xml:space="preserve">Avril </v>
      </c>
      <c r="E6"/>
      <c r="G6" s="140" t="s">
        <v>53</v>
      </c>
      <c r="H6" s="140"/>
      <c r="I6" s="140"/>
      <c r="J6" s="140"/>
      <c r="K6" s="71">
        <f>-K5*10/20</f>
        <v>-900</v>
      </c>
      <c r="N6"/>
      <c r="O6"/>
    </row>
    <row r="7" spans="2:15" ht="14.4" x14ac:dyDescent="0.3">
      <c r="B7" s="12" t="s">
        <v>16</v>
      </c>
      <c r="C7" s="29">
        <f>K10</f>
        <v>1702.8767123287671</v>
      </c>
      <c r="E7"/>
      <c r="G7" s="145" t="s">
        <v>55</v>
      </c>
      <c r="H7" s="145"/>
      <c r="I7" s="145"/>
      <c r="J7" s="145"/>
      <c r="K7" s="71">
        <f>0.9*K5*10/20</f>
        <v>810</v>
      </c>
      <c r="N7"/>
      <c r="O7"/>
    </row>
    <row r="8" spans="2:15" ht="14.4" x14ac:dyDescent="0.3">
      <c r="B8" s="12" t="s">
        <v>121</v>
      </c>
      <c r="C8" s="29">
        <f>K5</f>
        <v>1800</v>
      </c>
      <c r="E8"/>
      <c r="G8" s="146" t="s">
        <v>57</v>
      </c>
      <c r="H8" s="146"/>
      <c r="I8" s="146"/>
      <c r="J8" s="146"/>
      <c r="K8" s="71">
        <f>-7*1800*3*0.5/91.25</f>
        <v>-207.12328767123287</v>
      </c>
      <c r="N8"/>
      <c r="O8"/>
    </row>
    <row r="9" spans="2:15" ht="14.4" x14ac:dyDescent="0.3">
      <c r="B9" s="12" t="s">
        <v>122</v>
      </c>
      <c r="C9" s="14"/>
      <c r="E9"/>
      <c r="F9"/>
      <c r="G9" s="146" t="s">
        <v>68</v>
      </c>
      <c r="H9" s="146"/>
      <c r="I9" s="146"/>
      <c r="J9" s="146"/>
      <c r="K9" s="71">
        <v>200</v>
      </c>
      <c r="N9"/>
      <c r="O9"/>
    </row>
    <row r="10" spans="2:15" x14ac:dyDescent="0.25">
      <c r="B10" s="12" t="s">
        <v>123</v>
      </c>
      <c r="C10" s="33">
        <f>K9</f>
        <v>200</v>
      </c>
      <c r="G10" s="140" t="s">
        <v>59</v>
      </c>
      <c r="H10" s="140"/>
      <c r="I10" s="140"/>
      <c r="J10" s="140"/>
      <c r="K10" s="71">
        <f>SUM(K5:K9)</f>
        <v>1702.8767123287671</v>
      </c>
    </row>
    <row r="11" spans="2:15" ht="14.4" x14ac:dyDescent="0.3">
      <c r="B11" s="12" t="s">
        <v>124</v>
      </c>
      <c r="C11" s="14">
        <v>151.66999999999999</v>
      </c>
      <c r="G11"/>
      <c r="H11"/>
      <c r="I11"/>
      <c r="J11"/>
      <c r="K11"/>
      <c r="L11"/>
      <c r="M11"/>
    </row>
    <row r="12" spans="2:15" x14ac:dyDescent="0.25">
      <c r="B12" s="12" t="s">
        <v>125</v>
      </c>
      <c r="C12" s="14"/>
      <c r="G12" s="12" t="s">
        <v>67</v>
      </c>
    </row>
    <row r="13" spans="2:15" x14ac:dyDescent="0.25">
      <c r="B13" s="12" t="s">
        <v>130</v>
      </c>
      <c r="C13" s="14">
        <f>K4</f>
        <v>30</v>
      </c>
    </row>
    <row r="15" spans="2:15" x14ac:dyDescent="0.25">
      <c r="B15" s="85" t="s">
        <v>134</v>
      </c>
      <c r="C15" s="85"/>
      <c r="D15" s="85"/>
      <c r="E15" s="85"/>
      <c r="F15" s="85"/>
      <c r="G15" s="85"/>
      <c r="H15" s="85"/>
      <c r="I15" s="85"/>
    </row>
    <row r="16" spans="2:15" x14ac:dyDescent="0.25">
      <c r="B16" s="94" t="s">
        <v>139</v>
      </c>
      <c r="C16" s="94" t="s">
        <v>19</v>
      </c>
      <c r="D16" s="15" t="s">
        <v>20</v>
      </c>
      <c r="E16" s="85" t="s">
        <v>21</v>
      </c>
      <c r="F16" s="85" t="s">
        <v>22</v>
      </c>
      <c r="G16" s="85" t="s">
        <v>51</v>
      </c>
      <c r="H16" s="85" t="s">
        <v>43</v>
      </c>
      <c r="I16" s="85"/>
    </row>
    <row r="17" spans="2:9" x14ac:dyDescent="0.25">
      <c r="B17" s="87"/>
      <c r="C17" s="87"/>
      <c r="D17" s="87" t="s">
        <v>25</v>
      </c>
      <c r="E17" s="85"/>
      <c r="F17" s="85"/>
      <c r="G17" s="85"/>
      <c r="H17" s="85"/>
      <c r="I17" s="85"/>
    </row>
    <row r="18" spans="2:9" ht="60" customHeight="1" x14ac:dyDescent="0.25">
      <c r="B18" s="88"/>
      <c r="C18" s="88"/>
      <c r="D18" s="88"/>
      <c r="E18" s="85"/>
      <c r="F18" s="85"/>
      <c r="G18" s="85"/>
      <c r="H18" s="85"/>
      <c r="I18" s="85"/>
    </row>
    <row r="19" spans="2:9" x14ac:dyDescent="0.25">
      <c r="B19" s="87">
        <f>C11*(C7-C10)/C8</f>
        <v>126.63406164383561</v>
      </c>
      <c r="C19" s="87">
        <f>C5</f>
        <v>11.65</v>
      </c>
      <c r="D19" s="87">
        <f>1.6*C5*B19</f>
        <v>2360.4589090410959</v>
      </c>
      <c r="E19" s="134">
        <f>D19/C7</f>
        <v>1.386159603893492</v>
      </c>
      <c r="F19" s="134">
        <f>E19-1</f>
        <v>0.38615960389349202</v>
      </c>
      <c r="G19" s="87">
        <f>ROUND(F19*C2/0.6,4)</f>
        <v>0.2056</v>
      </c>
      <c r="H19" s="141">
        <f>ROUND(G19*C7,2)</f>
        <v>350.11</v>
      </c>
      <c r="I19" s="142"/>
    </row>
    <row r="20" spans="2:9" x14ac:dyDescent="0.25">
      <c r="B20" s="88"/>
      <c r="C20" s="88"/>
      <c r="D20" s="88"/>
      <c r="E20" s="88"/>
      <c r="F20" s="88"/>
      <c r="G20" s="88"/>
      <c r="H20" s="143"/>
      <c r="I20" s="144"/>
    </row>
    <row r="22" spans="2:9" x14ac:dyDescent="0.25">
      <c r="B22" s="12" t="s">
        <v>69</v>
      </c>
    </row>
    <row r="24" spans="2:9" x14ac:dyDescent="0.25">
      <c r="B24" s="12" t="s">
        <v>70</v>
      </c>
      <c r="F24" s="12" t="s">
        <v>71</v>
      </c>
      <c r="G24" s="14">
        <v>2000</v>
      </c>
    </row>
    <row r="25" spans="2:9" x14ac:dyDescent="0.25">
      <c r="B25" s="12" t="s">
        <v>72</v>
      </c>
      <c r="G25" s="33">
        <f>K10</f>
        <v>1702.8767123287671</v>
      </c>
    </row>
    <row r="26" spans="2:9" x14ac:dyDescent="0.25">
      <c r="B26" s="12" t="s">
        <v>73</v>
      </c>
      <c r="G26" s="14"/>
    </row>
    <row r="27" spans="2:9" x14ac:dyDescent="0.25">
      <c r="B27" s="12" t="s">
        <v>75</v>
      </c>
      <c r="G27" s="33">
        <f>K5</f>
        <v>1800</v>
      </c>
    </row>
    <row r="28" spans="2:9" x14ac:dyDescent="0.25">
      <c r="B28" s="12" t="s">
        <v>76</v>
      </c>
      <c r="G28" s="33">
        <f>K10-K9</f>
        <v>1502.8767123287671</v>
      </c>
    </row>
    <row r="29" spans="2:9" x14ac:dyDescent="0.25">
      <c r="B29" s="12" t="s">
        <v>77</v>
      </c>
      <c r="G29" s="14">
        <f>C11*G28/G27</f>
        <v>126.63406164383561</v>
      </c>
    </row>
  </sheetData>
  <mergeCells count="23">
    <mergeCell ref="G9:J9"/>
    <mergeCell ref="B19:B20"/>
    <mergeCell ref="C19:C20"/>
    <mergeCell ref="D19:D20"/>
    <mergeCell ref="E19:E20"/>
    <mergeCell ref="F19:F20"/>
    <mergeCell ref="D17:D18"/>
    <mergeCell ref="G3:J3"/>
    <mergeCell ref="G10:J10"/>
    <mergeCell ref="H19:I20"/>
    <mergeCell ref="G5:H5"/>
    <mergeCell ref="G19:G20"/>
    <mergeCell ref="B15:I15"/>
    <mergeCell ref="B16:B18"/>
    <mergeCell ref="C16:C18"/>
    <mergeCell ref="E16:E18"/>
    <mergeCell ref="F16:F18"/>
    <mergeCell ref="G16:G18"/>
    <mergeCell ref="H16:I18"/>
    <mergeCell ref="G4:J4"/>
    <mergeCell ref="G6:J6"/>
    <mergeCell ref="G7:J7"/>
    <mergeCell ref="G8:J8"/>
  </mergeCells>
  <printOptions horizontalCentered="1" verticalCentered="1"/>
  <pageMargins left="0.70866141732283472" right="0.70866141732283472" top="0.35433070866141736" bottom="0.15748031496062992" header="0.31496062992125984" footer="0.31496062992125984"/>
  <pageSetup paperSize="9" scale="80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4669A-E1AC-4490-A61B-C7F1450736E6}">
  <dimension ref="B1:O28"/>
  <sheetViews>
    <sheetView topLeftCell="A4" workbookViewId="0">
      <selection activeCell="B19" sqref="B19:B20"/>
    </sheetView>
  </sheetViews>
  <sheetFormatPr baseColWidth="10" defaultColWidth="11.44140625" defaultRowHeight="13.8" x14ac:dyDescent="0.25"/>
  <cols>
    <col min="1" max="1" width="11.44140625" style="12"/>
    <col min="2" max="2" width="35.88671875" style="12" bestFit="1" customWidth="1"/>
    <col min="3" max="5" width="11.44140625" style="12"/>
    <col min="6" max="6" width="14.6640625" style="12" customWidth="1"/>
    <col min="7" max="16384" width="11.44140625" style="12"/>
  </cols>
  <sheetData>
    <row r="1" spans="2:15" ht="14.4" x14ac:dyDescent="0.3">
      <c r="E1"/>
      <c r="F1" s="1" t="s">
        <v>78</v>
      </c>
      <c r="G1" t="s">
        <v>79</v>
      </c>
      <c r="H1"/>
      <c r="I1"/>
      <c r="J1"/>
      <c r="K1" t="s">
        <v>80</v>
      </c>
      <c r="L1"/>
      <c r="N1"/>
      <c r="O1"/>
    </row>
    <row r="2" spans="2:15" ht="14.4" x14ac:dyDescent="0.3">
      <c r="B2" s="12" t="s">
        <v>117</v>
      </c>
      <c r="C2" s="14">
        <f>'APPLICATION 4 CORRIGE '!C2</f>
        <v>0.31940000000000002</v>
      </c>
      <c r="E2"/>
      <c r="F2"/>
      <c r="G2"/>
      <c r="H2"/>
      <c r="I2"/>
      <c r="J2"/>
      <c r="K2"/>
      <c r="L2"/>
      <c r="N2"/>
      <c r="O2"/>
    </row>
    <row r="3" spans="2:15" ht="14.4" x14ac:dyDescent="0.3">
      <c r="B3" s="12" t="s">
        <v>118</v>
      </c>
      <c r="C3" s="65">
        <f>'APPLICATION 4 CORRIGE '!C3</f>
        <v>0.32340000000000002</v>
      </c>
      <c r="E3"/>
      <c r="F3"/>
      <c r="G3" s="152" t="s">
        <v>48</v>
      </c>
      <c r="H3" s="152"/>
      <c r="I3" s="9">
        <v>151.66999999999999</v>
      </c>
      <c r="J3" s="11">
        <f>K3/I3</f>
        <v>11.867871035801413</v>
      </c>
      <c r="K3" s="70">
        <v>1800</v>
      </c>
      <c r="L3"/>
      <c r="N3"/>
      <c r="O3"/>
    </row>
    <row r="4" spans="2:15" ht="14.4" x14ac:dyDescent="0.3">
      <c r="B4" s="12" t="str">
        <f>'APPLICATION 4 CORRIGE '!B4</f>
        <v>SMIC Horaire 01/05</v>
      </c>
      <c r="C4" s="64">
        <f>'APPLICATION 4 CORRIGE '!C4</f>
        <v>11.52</v>
      </c>
      <c r="E4"/>
      <c r="F4"/>
      <c r="G4" s="95" t="s">
        <v>53</v>
      </c>
      <c r="H4" s="95"/>
      <c r="I4" s="95"/>
      <c r="J4" s="95"/>
      <c r="K4" s="70">
        <f>-K3*10/20</f>
        <v>-900</v>
      </c>
      <c r="L4" t="s">
        <v>81</v>
      </c>
      <c r="N4"/>
      <c r="O4"/>
    </row>
    <row r="5" spans="2:15" ht="14.4" x14ac:dyDescent="0.3">
      <c r="B5" s="12" t="str">
        <f>'APPLICATION 4 CORRIGE '!B5</f>
        <v>SMIC Horaire 01/01/2024</v>
      </c>
      <c r="C5" s="64">
        <f>'APPLICATION 4 CORRIGE '!C5</f>
        <v>11.65</v>
      </c>
      <c r="E5"/>
      <c r="F5"/>
      <c r="G5" s="153" t="s">
        <v>82</v>
      </c>
      <c r="H5" s="153"/>
      <c r="I5" s="153"/>
      <c r="J5" s="153"/>
      <c r="K5" s="70">
        <f>0.9*K3*10/20</f>
        <v>810</v>
      </c>
      <c r="N5"/>
      <c r="O5"/>
    </row>
    <row r="6" spans="2:15" ht="14.4" x14ac:dyDescent="0.3">
      <c r="B6" s="12" t="s">
        <v>46</v>
      </c>
      <c r="C6" s="67" t="s">
        <v>113</v>
      </c>
      <c r="E6"/>
      <c r="F6"/>
      <c r="G6" s="149" t="s">
        <v>57</v>
      </c>
      <c r="H6" s="149"/>
      <c r="I6" s="149"/>
      <c r="J6" s="149"/>
      <c r="K6" s="70">
        <f>-7*1800*3*0.5/91.25</f>
        <v>-207.12328767123287</v>
      </c>
      <c r="L6"/>
      <c r="N6"/>
      <c r="O6"/>
    </row>
    <row r="7" spans="2:15" ht="14.4" x14ac:dyDescent="0.3">
      <c r="B7" s="12" t="s">
        <v>16</v>
      </c>
      <c r="C7" s="66">
        <f>K8</f>
        <v>1602.8767123287671</v>
      </c>
      <c r="E7"/>
      <c r="F7"/>
      <c r="G7" s="149" t="s">
        <v>84</v>
      </c>
      <c r="H7" s="149"/>
      <c r="I7" s="149"/>
      <c r="J7" s="149"/>
      <c r="K7" s="70">
        <f>200*(140-70)/140</f>
        <v>100</v>
      </c>
      <c r="L7"/>
      <c r="N7"/>
      <c r="O7"/>
    </row>
    <row r="8" spans="2:15" ht="14.4" x14ac:dyDescent="0.3">
      <c r="B8" s="12" t="s">
        <v>121</v>
      </c>
      <c r="C8" s="29">
        <f>K3</f>
        <v>1800</v>
      </c>
      <c r="E8"/>
      <c r="F8"/>
      <c r="G8" s="95" t="s">
        <v>59</v>
      </c>
      <c r="H8" s="95"/>
      <c r="I8" s="95"/>
      <c r="J8" s="95"/>
      <c r="K8" s="70">
        <f>SUM(K3:K7)</f>
        <v>1602.8767123287671</v>
      </c>
      <c r="L8"/>
      <c r="N8"/>
      <c r="O8"/>
    </row>
    <row r="9" spans="2:15" ht="14.4" x14ac:dyDescent="0.3">
      <c r="B9" s="12" t="s">
        <v>122</v>
      </c>
      <c r="C9" s="14">
        <f>200</f>
        <v>200</v>
      </c>
      <c r="E9"/>
      <c r="F9"/>
      <c r="G9" s="146" t="s">
        <v>36</v>
      </c>
      <c r="H9" s="146"/>
      <c r="I9" s="146"/>
      <c r="J9" s="146"/>
      <c r="K9" s="71">
        <v>15</v>
      </c>
      <c r="N9"/>
      <c r="O9"/>
    </row>
    <row r="10" spans="2:15" x14ac:dyDescent="0.25">
      <c r="B10" s="12" t="s">
        <v>123</v>
      </c>
      <c r="C10" s="33"/>
      <c r="G10" s="156"/>
      <c r="H10" s="156"/>
      <c r="I10" s="156"/>
      <c r="J10" s="156"/>
      <c r="K10" s="37"/>
    </row>
    <row r="11" spans="2:15" ht="14.4" x14ac:dyDescent="0.3">
      <c r="B11" s="12" t="s">
        <v>124</v>
      </c>
      <c r="C11" s="14">
        <v>151.66999999999999</v>
      </c>
      <c r="G11" t="s">
        <v>83</v>
      </c>
      <c r="H11"/>
      <c r="I11"/>
      <c r="J11"/>
      <c r="K11"/>
      <c r="L11"/>
      <c r="M11"/>
    </row>
    <row r="12" spans="2:15" x14ac:dyDescent="0.25">
      <c r="B12" s="12" t="s">
        <v>125</v>
      </c>
      <c r="C12" s="14"/>
    </row>
    <row r="13" spans="2:15" x14ac:dyDescent="0.25">
      <c r="B13" s="12" t="s">
        <v>130</v>
      </c>
      <c r="C13" s="33">
        <f>K9</f>
        <v>15</v>
      </c>
    </row>
    <row r="15" spans="2:15" x14ac:dyDescent="0.25">
      <c r="B15" s="86" t="s">
        <v>134</v>
      </c>
      <c r="C15" s="157"/>
      <c r="D15" s="157"/>
      <c r="E15" s="157"/>
      <c r="F15" s="157"/>
      <c r="G15" s="157"/>
      <c r="H15" s="157"/>
      <c r="I15" s="158"/>
    </row>
    <row r="16" spans="2:15" x14ac:dyDescent="0.25">
      <c r="B16" s="94" t="s">
        <v>139</v>
      </c>
      <c r="C16" s="94" t="s">
        <v>19</v>
      </c>
      <c r="D16" s="15" t="s">
        <v>20</v>
      </c>
      <c r="E16" s="94" t="s">
        <v>21</v>
      </c>
      <c r="F16" s="94" t="s">
        <v>22</v>
      </c>
      <c r="G16" s="94" t="s">
        <v>51</v>
      </c>
      <c r="H16" s="147" t="s">
        <v>43</v>
      </c>
      <c r="I16" s="148"/>
    </row>
    <row r="17" spans="2:9" x14ac:dyDescent="0.25">
      <c r="B17" s="87"/>
      <c r="C17" s="87"/>
      <c r="D17" s="94" t="s">
        <v>25</v>
      </c>
      <c r="E17" s="87"/>
      <c r="F17" s="87"/>
      <c r="G17" s="87"/>
      <c r="H17" s="104"/>
      <c r="I17" s="105"/>
    </row>
    <row r="18" spans="2:9" ht="55.5" customHeight="1" x14ac:dyDescent="0.25">
      <c r="B18" s="88"/>
      <c r="C18" s="88"/>
      <c r="D18" s="88"/>
      <c r="E18" s="88"/>
      <c r="F18" s="88"/>
      <c r="G18" s="88"/>
      <c r="H18" s="106"/>
      <c r="I18" s="107"/>
    </row>
    <row r="19" spans="2:9" x14ac:dyDescent="0.25">
      <c r="B19" s="94">
        <f>C11*C7/(C8+C9)</f>
        <v>121.55415547945205</v>
      </c>
      <c r="C19" s="94">
        <f>C5</f>
        <v>11.65</v>
      </c>
      <c r="D19" s="94">
        <f>1.6*C5*B19</f>
        <v>2265.7694581369865</v>
      </c>
      <c r="E19" s="154">
        <f>D19/C7</f>
        <v>1.4135644000000001</v>
      </c>
      <c r="F19" s="154">
        <f>E19-1</f>
        <v>0.41356440000000005</v>
      </c>
      <c r="G19" s="94">
        <f>ROUND(F19*C2/0.6,4)</f>
        <v>0.22020000000000001</v>
      </c>
      <c r="H19" s="150">
        <f>ROUND(G19*C7,2)</f>
        <v>352.95</v>
      </c>
      <c r="I19" s="151"/>
    </row>
    <row r="20" spans="2:9" x14ac:dyDescent="0.25">
      <c r="B20" s="88"/>
      <c r="C20" s="88"/>
      <c r="D20" s="88"/>
      <c r="E20" s="155"/>
      <c r="F20" s="155"/>
      <c r="G20" s="88"/>
      <c r="H20" s="138"/>
      <c r="I20" s="139"/>
    </row>
    <row r="23" spans="2:9" x14ac:dyDescent="0.25">
      <c r="B23" s="12" t="s">
        <v>61</v>
      </c>
    </row>
    <row r="24" spans="2:9" x14ac:dyDescent="0.25">
      <c r="B24" s="12" t="s">
        <v>135</v>
      </c>
    </row>
    <row r="25" spans="2:9" x14ac:dyDescent="0.25">
      <c r="B25" s="12" t="s">
        <v>140</v>
      </c>
      <c r="G25" s="38"/>
    </row>
    <row r="26" spans="2:9" x14ac:dyDescent="0.25">
      <c r="B26" s="12" t="s">
        <v>136</v>
      </c>
    </row>
    <row r="27" spans="2:9" x14ac:dyDescent="0.25">
      <c r="G27" s="38"/>
    </row>
    <row r="28" spans="2:9" x14ac:dyDescent="0.25">
      <c r="G28" s="38"/>
    </row>
  </sheetData>
  <mergeCells count="23">
    <mergeCell ref="H19:I20"/>
    <mergeCell ref="G3:H3"/>
    <mergeCell ref="G5:J5"/>
    <mergeCell ref="B19:B20"/>
    <mergeCell ref="C19:C20"/>
    <mergeCell ref="D19:D20"/>
    <mergeCell ref="E19:E20"/>
    <mergeCell ref="F19:F20"/>
    <mergeCell ref="G19:G20"/>
    <mergeCell ref="G9:J9"/>
    <mergeCell ref="G10:J10"/>
    <mergeCell ref="B15:I15"/>
    <mergeCell ref="B16:B18"/>
    <mergeCell ref="C16:C18"/>
    <mergeCell ref="E16:E18"/>
    <mergeCell ref="F16:F18"/>
    <mergeCell ref="G16:G18"/>
    <mergeCell ref="H16:I18"/>
    <mergeCell ref="D17:D18"/>
    <mergeCell ref="G4:J4"/>
    <mergeCell ref="G6:J6"/>
    <mergeCell ref="G7:J7"/>
    <mergeCell ref="G8:J8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80" orientation="landscape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8EA9A-E6B2-4944-89A1-369765815763}">
  <dimension ref="B1:O28"/>
  <sheetViews>
    <sheetView workbookViewId="0">
      <selection activeCell="D19" sqref="D19:D20"/>
    </sheetView>
  </sheetViews>
  <sheetFormatPr baseColWidth="10" defaultColWidth="11.44140625" defaultRowHeight="13.8" x14ac:dyDescent="0.25"/>
  <cols>
    <col min="1" max="1" width="11.44140625" style="12"/>
    <col min="2" max="2" width="35.88671875" style="12" bestFit="1" customWidth="1"/>
    <col min="3" max="4" width="11.44140625" style="12"/>
    <col min="5" max="5" width="20.33203125" style="12" customWidth="1"/>
    <col min="6" max="6" width="35.6640625" style="12" customWidth="1"/>
    <col min="7" max="16384" width="11.44140625" style="12"/>
  </cols>
  <sheetData>
    <row r="1" spans="2:15" ht="14.4" x14ac:dyDescent="0.3">
      <c r="E1"/>
      <c r="F1" s="1"/>
      <c r="G1"/>
      <c r="H1"/>
      <c r="I1"/>
      <c r="J1"/>
      <c r="K1"/>
      <c r="L1"/>
      <c r="N1"/>
      <c r="O1"/>
    </row>
    <row r="2" spans="2:15" ht="14.4" x14ac:dyDescent="0.3">
      <c r="B2" s="12" t="s">
        <v>117</v>
      </c>
      <c r="C2" s="64">
        <f>'APPLICATION 5 CORRIGE '!C2</f>
        <v>0.31940000000000002</v>
      </c>
      <c r="E2"/>
      <c r="F2"/>
      <c r="G2"/>
      <c r="H2"/>
      <c r="I2"/>
      <c r="J2"/>
      <c r="K2"/>
      <c r="L2"/>
      <c r="N2"/>
      <c r="O2"/>
    </row>
    <row r="3" spans="2:15" ht="14.4" x14ac:dyDescent="0.3">
      <c r="B3" s="12" t="s">
        <v>118</v>
      </c>
      <c r="C3" s="64">
        <f>'APPLICATION 5 CORRIGE '!C3</f>
        <v>0.32340000000000002</v>
      </c>
      <c r="E3" s="1" t="s">
        <v>90</v>
      </c>
      <c r="F3"/>
      <c r="G3" s="159"/>
      <c r="H3" s="159"/>
      <c r="I3" s="10"/>
      <c r="J3" s="39"/>
      <c r="K3" s="8"/>
      <c r="L3"/>
      <c r="N3"/>
      <c r="O3"/>
    </row>
    <row r="4" spans="2:15" ht="14.4" x14ac:dyDescent="0.3">
      <c r="B4" s="12" t="str">
        <f>'APPLICATION 5 CORRIGE '!B4</f>
        <v>SMIC Horaire 01/05</v>
      </c>
      <c r="C4" s="64">
        <f>'APPLICATION 5 CORRIGE '!C4</f>
        <v>11.52</v>
      </c>
      <c r="E4"/>
      <c r="F4"/>
      <c r="G4" s="160"/>
      <c r="H4" s="160"/>
      <c r="I4" s="160"/>
      <c r="J4" s="160"/>
      <c r="K4" s="8"/>
      <c r="L4"/>
      <c r="N4"/>
      <c r="O4"/>
    </row>
    <row r="5" spans="2:15" ht="14.4" x14ac:dyDescent="0.3">
      <c r="B5" s="12" t="str">
        <f>'APPLICATION 5 CORRIGE '!B5</f>
        <v>SMIC Horaire 01/01/2024</v>
      </c>
      <c r="C5" s="64">
        <f>'APPLICATION 5 CORRIGE '!C5</f>
        <v>11.65</v>
      </c>
      <c r="E5" s="162" t="s">
        <v>91</v>
      </c>
      <c r="F5" s="162"/>
      <c r="G5" s="162"/>
      <c r="H5" s="162"/>
      <c r="I5" s="162"/>
      <c r="J5" s="162"/>
      <c r="K5" s="8"/>
      <c r="L5"/>
      <c r="N5"/>
      <c r="O5"/>
    </row>
    <row r="6" spans="2:15" ht="14.4" x14ac:dyDescent="0.3">
      <c r="B6" s="12" t="s">
        <v>46</v>
      </c>
      <c r="C6" s="67" t="s">
        <v>113</v>
      </c>
      <c r="E6" t="s">
        <v>36</v>
      </c>
      <c r="F6">
        <v>30</v>
      </c>
      <c r="G6" s="161"/>
      <c r="H6" s="161"/>
      <c r="I6" s="161"/>
      <c r="J6" s="161"/>
      <c r="K6" s="8"/>
      <c r="L6"/>
      <c r="N6"/>
      <c r="O6"/>
    </row>
    <row r="7" spans="2:15" ht="14.4" x14ac:dyDescent="0.3">
      <c r="B7" s="12" t="s">
        <v>16</v>
      </c>
      <c r="C7" s="72">
        <f>1400</f>
        <v>1400</v>
      </c>
      <c r="E7" t="s">
        <v>133</v>
      </c>
      <c r="F7" t="s">
        <v>113</v>
      </c>
      <c r="G7" s="161"/>
      <c r="H7" s="161"/>
      <c r="I7" s="161"/>
      <c r="J7" s="161"/>
      <c r="K7" s="8"/>
      <c r="L7"/>
      <c r="N7"/>
      <c r="O7"/>
    </row>
    <row r="8" spans="2:15" ht="14.4" x14ac:dyDescent="0.3">
      <c r="B8" s="12" t="s">
        <v>121</v>
      </c>
      <c r="C8" s="72">
        <f>K3</f>
        <v>0</v>
      </c>
      <c r="E8"/>
      <c r="F8"/>
      <c r="G8" s="160"/>
      <c r="H8" s="160"/>
      <c r="I8" s="160"/>
      <c r="J8" s="160"/>
      <c r="K8" s="8"/>
      <c r="L8"/>
      <c r="N8"/>
      <c r="O8"/>
    </row>
    <row r="9" spans="2:15" ht="14.4" x14ac:dyDescent="0.3">
      <c r="B9" s="12" t="s">
        <v>122</v>
      </c>
      <c r="C9" s="64"/>
      <c r="E9"/>
      <c r="F9"/>
      <c r="G9" s="163"/>
      <c r="H9" s="163"/>
      <c r="I9" s="163"/>
      <c r="J9" s="163"/>
      <c r="K9" s="37"/>
      <c r="N9"/>
      <c r="O9"/>
    </row>
    <row r="10" spans="2:15" x14ac:dyDescent="0.25">
      <c r="B10" s="12" t="s">
        <v>123</v>
      </c>
      <c r="C10" s="73"/>
      <c r="G10" s="156"/>
      <c r="H10" s="156"/>
      <c r="I10" s="156"/>
      <c r="J10" s="156"/>
      <c r="K10" s="37"/>
    </row>
    <row r="11" spans="2:15" ht="14.4" x14ac:dyDescent="0.3">
      <c r="B11" s="12" t="s">
        <v>124</v>
      </c>
      <c r="C11" s="64">
        <v>90</v>
      </c>
      <c r="G11"/>
      <c r="H11"/>
      <c r="I11"/>
      <c r="J11"/>
      <c r="K11"/>
      <c r="L11"/>
      <c r="M11"/>
    </row>
    <row r="12" spans="2:15" x14ac:dyDescent="0.25">
      <c r="B12" s="12" t="s">
        <v>125</v>
      </c>
      <c r="C12" s="64"/>
    </row>
    <row r="13" spans="2:15" x14ac:dyDescent="0.25">
      <c r="B13" s="12" t="s">
        <v>130</v>
      </c>
      <c r="C13" s="73">
        <v>30</v>
      </c>
    </row>
    <row r="15" spans="2:15" x14ac:dyDescent="0.25">
      <c r="B15" s="86" t="s">
        <v>134</v>
      </c>
      <c r="C15" s="157"/>
      <c r="D15" s="157"/>
      <c r="E15" s="157"/>
      <c r="F15" s="157"/>
      <c r="G15" s="157"/>
      <c r="H15" s="157"/>
      <c r="I15" s="158"/>
    </row>
    <row r="16" spans="2:15" x14ac:dyDescent="0.25">
      <c r="B16" s="94" t="s">
        <v>139</v>
      </c>
      <c r="C16" s="94" t="s">
        <v>19</v>
      </c>
      <c r="D16" s="15" t="s">
        <v>20</v>
      </c>
      <c r="E16" s="94" t="s">
        <v>21</v>
      </c>
      <c r="F16" s="94" t="s">
        <v>22</v>
      </c>
      <c r="G16" s="94" t="s">
        <v>51</v>
      </c>
      <c r="H16" s="147" t="s">
        <v>43</v>
      </c>
      <c r="I16" s="148"/>
    </row>
    <row r="17" spans="2:9" ht="33" customHeight="1" x14ac:dyDescent="0.25">
      <c r="B17" s="87"/>
      <c r="C17" s="87"/>
      <c r="D17" s="94" t="s">
        <v>25</v>
      </c>
      <c r="E17" s="87"/>
      <c r="F17" s="87"/>
      <c r="G17" s="87"/>
      <c r="H17" s="104"/>
      <c r="I17" s="105"/>
    </row>
    <row r="18" spans="2:9" ht="45.75" customHeight="1" x14ac:dyDescent="0.25">
      <c r="B18" s="88"/>
      <c r="C18" s="88"/>
      <c r="D18" s="88"/>
      <c r="E18" s="88"/>
      <c r="F18" s="88"/>
      <c r="G18" s="88"/>
      <c r="H18" s="106"/>
      <c r="I18" s="107"/>
    </row>
    <row r="19" spans="2:9" x14ac:dyDescent="0.25">
      <c r="B19" s="94">
        <f>C11</f>
        <v>90</v>
      </c>
      <c r="C19" s="94">
        <f>C5</f>
        <v>11.65</v>
      </c>
      <c r="D19" s="94">
        <f>1.6*C5*B19</f>
        <v>1677.6000000000001</v>
      </c>
      <c r="E19" s="154">
        <f>D19/C7</f>
        <v>1.1982857142857144</v>
      </c>
      <c r="F19" s="154">
        <f>E19-1</f>
        <v>0.1982857142857144</v>
      </c>
      <c r="G19" s="94">
        <f>ROUND(F19*C2/0.6,4)</f>
        <v>0.1056</v>
      </c>
      <c r="H19" s="150">
        <f>ROUND(G19*C7,2)</f>
        <v>147.84</v>
      </c>
      <c r="I19" s="151"/>
    </row>
    <row r="20" spans="2:9" x14ac:dyDescent="0.25">
      <c r="B20" s="88"/>
      <c r="C20" s="88"/>
      <c r="D20" s="88"/>
      <c r="E20" s="155"/>
      <c r="F20" s="155"/>
      <c r="G20" s="88"/>
      <c r="H20" s="138"/>
      <c r="I20" s="139"/>
    </row>
    <row r="25" spans="2:9" x14ac:dyDescent="0.25">
      <c r="G25" s="38"/>
    </row>
    <row r="27" spans="2:9" x14ac:dyDescent="0.25">
      <c r="G27" s="38"/>
    </row>
    <row r="28" spans="2:9" x14ac:dyDescent="0.25">
      <c r="G28" s="38"/>
    </row>
  </sheetData>
  <mergeCells count="23">
    <mergeCell ref="H19:I20"/>
    <mergeCell ref="E5:J5"/>
    <mergeCell ref="B19:B20"/>
    <mergeCell ref="C19:C20"/>
    <mergeCell ref="D19:D20"/>
    <mergeCell ref="E19:E20"/>
    <mergeCell ref="F19:F20"/>
    <mergeCell ref="G19:G20"/>
    <mergeCell ref="G9:J9"/>
    <mergeCell ref="G10:J10"/>
    <mergeCell ref="B15:I15"/>
    <mergeCell ref="B16:B18"/>
    <mergeCell ref="C16:C18"/>
    <mergeCell ref="E16:E18"/>
    <mergeCell ref="F16:F18"/>
    <mergeCell ref="G16:G18"/>
    <mergeCell ref="H16:I18"/>
    <mergeCell ref="D17:D18"/>
    <mergeCell ref="G3:H3"/>
    <mergeCell ref="G4:J4"/>
    <mergeCell ref="G6:J6"/>
    <mergeCell ref="G7:J7"/>
    <mergeCell ref="G8:J8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37631-1111-4829-8F1F-85A9D5DF50EC}">
  <dimension ref="C2:P29"/>
  <sheetViews>
    <sheetView workbookViewId="0">
      <selection activeCell="I20" sqref="I20:J21"/>
    </sheetView>
  </sheetViews>
  <sheetFormatPr baseColWidth="10" defaultColWidth="11.44140625" defaultRowHeight="13.8" x14ac:dyDescent="0.25"/>
  <cols>
    <col min="1" max="1" width="3" style="12" customWidth="1"/>
    <col min="2" max="2" width="2.33203125" style="12" customWidth="1"/>
    <col min="3" max="3" width="35.88671875" style="12" bestFit="1" customWidth="1"/>
    <col min="4" max="4" width="11.44140625" style="12"/>
    <col min="5" max="5" width="15.33203125" style="12" customWidth="1"/>
    <col min="6" max="6" width="20.33203125" style="12" customWidth="1"/>
    <col min="7" max="7" width="22.44140625" style="12" customWidth="1"/>
    <col min="8" max="16384" width="11.44140625" style="12"/>
  </cols>
  <sheetData>
    <row r="2" spans="3:16" x14ac:dyDescent="0.25">
      <c r="C2" s="12" t="s">
        <v>117</v>
      </c>
      <c r="D2" s="14">
        <f>'Application 6 Corrigé '!C2</f>
        <v>0.31940000000000002</v>
      </c>
      <c r="F2" s="32" t="s">
        <v>92</v>
      </c>
    </row>
    <row r="3" spans="3:16" x14ac:dyDescent="0.25">
      <c r="C3" s="12" t="s">
        <v>118</v>
      </c>
      <c r="D3" s="65">
        <f>'Application 6 Corrigé '!C3</f>
        <v>0.32340000000000002</v>
      </c>
    </row>
    <row r="4" spans="3:16" x14ac:dyDescent="0.25">
      <c r="C4" s="12" t="str">
        <f>'Application 6 Corrigé '!B4</f>
        <v>SMIC Horaire 01/05</v>
      </c>
      <c r="D4" s="64">
        <f>'Application 6 Corrigé '!C4</f>
        <v>11.52</v>
      </c>
      <c r="F4" s="12" t="s">
        <v>93</v>
      </c>
    </row>
    <row r="5" spans="3:16" x14ac:dyDescent="0.25">
      <c r="C5" s="12" t="str">
        <f>'Application 6 Corrigé '!B5</f>
        <v>SMIC Horaire 01/01/2024</v>
      </c>
      <c r="D5" s="64">
        <f>'Application 6 Corrigé '!C5</f>
        <v>11.65</v>
      </c>
    </row>
    <row r="6" spans="3:16" x14ac:dyDescent="0.25">
      <c r="C6" s="12" t="s">
        <v>46</v>
      </c>
      <c r="D6" s="64" t="str">
        <f>'Application 6 Corrigé '!C6</f>
        <v xml:space="preserve">Avril </v>
      </c>
      <c r="F6" s="12" t="s">
        <v>37</v>
      </c>
      <c r="I6" s="74">
        <v>1500</v>
      </c>
      <c r="J6" s="21">
        <v>90</v>
      </c>
      <c r="K6" s="40">
        <f>I6/J6</f>
        <v>16.666666666666668</v>
      </c>
    </row>
    <row r="7" spans="3:16" x14ac:dyDescent="0.25">
      <c r="C7" s="12" t="s">
        <v>16</v>
      </c>
      <c r="D7" s="66">
        <f>I8</f>
        <v>1591.6666666666667</v>
      </c>
      <c r="F7" s="12" t="s">
        <v>94</v>
      </c>
      <c r="I7" s="74">
        <f>J7*K7</f>
        <v>91.666666666666686</v>
      </c>
      <c r="J7" s="21">
        <v>5</v>
      </c>
      <c r="K7" s="40">
        <f>K6*1.1</f>
        <v>18.333333333333336</v>
      </c>
    </row>
    <row r="8" spans="3:16" x14ac:dyDescent="0.25">
      <c r="C8" s="12" t="s">
        <v>121</v>
      </c>
      <c r="D8" s="29">
        <f>L12</f>
        <v>0</v>
      </c>
      <c r="F8" s="12" t="s">
        <v>50</v>
      </c>
      <c r="I8" s="74">
        <f>SUM(I6:I7)</f>
        <v>1591.6666666666667</v>
      </c>
    </row>
    <row r="9" spans="3:16" x14ac:dyDescent="0.25">
      <c r="C9" s="12" t="s">
        <v>122</v>
      </c>
      <c r="D9" s="14"/>
      <c r="I9" s="75"/>
    </row>
    <row r="10" spans="3:16" ht="14.4" x14ac:dyDescent="0.3">
      <c r="C10" s="12" t="s">
        <v>123</v>
      </c>
      <c r="D10" s="33"/>
      <c r="F10" s="12" t="s">
        <v>45</v>
      </c>
      <c r="G10" s="1"/>
      <c r="H10"/>
      <c r="I10" s="76">
        <v>40</v>
      </c>
      <c r="J10"/>
      <c r="K10"/>
      <c r="L10"/>
      <c r="M10"/>
      <c r="O10"/>
      <c r="P10"/>
    </row>
    <row r="11" spans="3:16" ht="14.4" x14ac:dyDescent="0.3">
      <c r="C11" s="12" t="s">
        <v>124</v>
      </c>
      <c r="D11" s="14">
        <v>90</v>
      </c>
      <c r="F11" s="12" t="s">
        <v>40</v>
      </c>
      <c r="G11"/>
      <c r="H11"/>
      <c r="I11" t="s">
        <v>41</v>
      </c>
      <c r="J11"/>
      <c r="K11"/>
      <c r="L11"/>
      <c r="M11"/>
      <c r="O11"/>
      <c r="P11"/>
    </row>
    <row r="12" spans="3:16" ht="14.4" x14ac:dyDescent="0.3">
      <c r="C12" s="12" t="s">
        <v>137</v>
      </c>
      <c r="D12" s="14">
        <f>J7</f>
        <v>5</v>
      </c>
      <c r="F12" s="1"/>
      <c r="G12"/>
      <c r="H12" s="159"/>
      <c r="I12" s="159"/>
      <c r="J12" s="10"/>
      <c r="K12" s="39"/>
      <c r="L12" s="8"/>
      <c r="M12"/>
      <c r="O12"/>
      <c r="P12"/>
    </row>
    <row r="13" spans="3:16" ht="14.4" x14ac:dyDescent="0.3">
      <c r="C13" s="12" t="s">
        <v>36</v>
      </c>
      <c r="D13" s="33">
        <f>+I10</f>
        <v>40</v>
      </c>
      <c r="F13"/>
      <c r="G13"/>
      <c r="H13" s="160"/>
      <c r="I13" s="160"/>
      <c r="J13" s="160"/>
      <c r="K13" s="160"/>
      <c r="L13" s="8"/>
      <c r="M13"/>
      <c r="O13"/>
      <c r="P13"/>
    </row>
    <row r="14" spans="3:16" ht="14.4" x14ac:dyDescent="0.3">
      <c r="F14" s="162"/>
      <c r="G14" s="162"/>
      <c r="H14" s="162"/>
      <c r="I14" s="162"/>
      <c r="J14" s="162"/>
      <c r="K14" s="162"/>
      <c r="L14" s="8"/>
      <c r="M14"/>
      <c r="O14"/>
      <c r="P14"/>
    </row>
    <row r="16" spans="3:16" x14ac:dyDescent="0.25">
      <c r="C16" s="86" t="s">
        <v>134</v>
      </c>
      <c r="D16" s="157"/>
      <c r="E16" s="157"/>
      <c r="F16" s="157"/>
      <c r="G16" s="157"/>
      <c r="H16" s="157"/>
      <c r="I16" s="157"/>
      <c r="J16" s="158"/>
    </row>
    <row r="17" spans="3:10" x14ac:dyDescent="0.25">
      <c r="C17" s="94" t="s">
        <v>18</v>
      </c>
      <c r="D17" s="94" t="s">
        <v>19</v>
      </c>
      <c r="E17" s="15" t="s">
        <v>20</v>
      </c>
      <c r="F17" s="94" t="s">
        <v>21</v>
      </c>
      <c r="G17" s="94" t="s">
        <v>22</v>
      </c>
      <c r="H17" s="94" t="s">
        <v>51</v>
      </c>
      <c r="I17" s="147" t="s">
        <v>43</v>
      </c>
      <c r="J17" s="148"/>
    </row>
    <row r="18" spans="3:10" x14ac:dyDescent="0.25">
      <c r="C18" s="87"/>
      <c r="D18" s="87"/>
      <c r="E18" s="94" t="s">
        <v>25</v>
      </c>
      <c r="F18" s="87"/>
      <c r="G18" s="87"/>
      <c r="H18" s="87"/>
      <c r="I18" s="104"/>
      <c r="J18" s="105"/>
    </row>
    <row r="19" spans="3:10" ht="51.75" customHeight="1" x14ac:dyDescent="0.25">
      <c r="C19" s="88"/>
      <c r="D19" s="88"/>
      <c r="E19" s="88"/>
      <c r="F19" s="88"/>
      <c r="G19" s="88"/>
      <c r="H19" s="88"/>
      <c r="I19" s="106"/>
      <c r="J19" s="107"/>
    </row>
    <row r="20" spans="3:10" x14ac:dyDescent="0.25">
      <c r="C20" s="94">
        <f>D11+D12</f>
        <v>95</v>
      </c>
      <c r="D20" s="94">
        <f>D5</f>
        <v>11.65</v>
      </c>
      <c r="E20" s="94">
        <f>1.6*D5*C20</f>
        <v>1770.8</v>
      </c>
      <c r="F20" s="154">
        <f>E20/D7</f>
        <v>1.1125445026178009</v>
      </c>
      <c r="G20" s="154">
        <f>F20-1</f>
        <v>0.11254450261780091</v>
      </c>
      <c r="H20" s="94">
        <f>ROUND(G20*D2/0.6,4)</f>
        <v>5.9900000000000002E-2</v>
      </c>
      <c r="I20" s="164">
        <f>ROUND(H20*D7,2)</f>
        <v>95.34</v>
      </c>
      <c r="J20" s="165"/>
    </row>
    <row r="21" spans="3:10" x14ac:dyDescent="0.25">
      <c r="C21" s="88"/>
      <c r="D21" s="88"/>
      <c r="E21" s="88"/>
      <c r="F21" s="155"/>
      <c r="G21" s="155"/>
      <c r="H21" s="88"/>
      <c r="I21" s="143"/>
      <c r="J21" s="144"/>
    </row>
    <row r="26" spans="3:10" x14ac:dyDescent="0.25">
      <c r="H26" s="38"/>
    </row>
    <row r="28" spans="3:10" x14ac:dyDescent="0.25">
      <c r="H28" s="38"/>
    </row>
    <row r="29" spans="3:10" x14ac:dyDescent="0.25">
      <c r="H29" s="38"/>
    </row>
  </sheetData>
  <mergeCells count="18">
    <mergeCell ref="I20:J21"/>
    <mergeCell ref="C20:C21"/>
    <mergeCell ref="D20:D21"/>
    <mergeCell ref="E20:E21"/>
    <mergeCell ref="F20:F21"/>
    <mergeCell ref="G20:G21"/>
    <mergeCell ref="H20:H21"/>
    <mergeCell ref="H12:I12"/>
    <mergeCell ref="H13:K13"/>
    <mergeCell ref="F14:K14"/>
    <mergeCell ref="C16:J16"/>
    <mergeCell ref="C17:C19"/>
    <mergeCell ref="D17:D19"/>
    <mergeCell ref="F17:F19"/>
    <mergeCell ref="G17:G19"/>
    <mergeCell ref="H17:H19"/>
    <mergeCell ref="I17:J19"/>
    <mergeCell ref="E18:E19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MOIS ISOLE </vt:lpstr>
      <vt:lpstr>ENONCE 1 </vt:lpstr>
      <vt:lpstr>APPLICATION 1 CORRIGE </vt:lpstr>
      <vt:lpstr>APPLICATION 2 CORRIGE </vt:lpstr>
      <vt:lpstr>APPLICATION 3 CORRIGE </vt:lpstr>
      <vt:lpstr>APPLICATION 4 CORRIGE </vt:lpstr>
      <vt:lpstr>APPLICATION 5 CORRIGE </vt:lpstr>
      <vt:lpstr>Application 6 Corrigé </vt:lpstr>
      <vt:lpstr>Application 7 Corrigé </vt:lpstr>
      <vt:lpstr>Application 8 Corrigé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</dc:creator>
  <cp:keywords/>
  <dc:description/>
  <cp:lastModifiedBy>jacques LE CHEVANTON</cp:lastModifiedBy>
  <cp:revision/>
  <dcterms:created xsi:type="dcterms:W3CDTF">2024-01-24T10:07:51Z</dcterms:created>
  <dcterms:modified xsi:type="dcterms:W3CDTF">2024-02-13T14:26:51Z</dcterms:modified>
  <cp:category/>
  <cp:contentStatus/>
</cp:coreProperties>
</file>